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4240" windowHeight="8145" tabRatio="859"/>
  </bookViews>
  <sheets>
    <sheet name="Title Page" sheetId="28" r:id="rId1"/>
    <sheet name="User Instructions" sheetId="91" r:id="rId2"/>
    <sheet name="Front Sheet" sheetId="83" r:id="rId3"/>
    <sheet name="Results Summary" sheetId="87" r:id="rId4"/>
    <sheet name="Background v" sheetId="92" state="hidden" r:id="rId5"/>
    <sheet name="Calculations" sheetId="85" state="hidden" r:id="rId6"/>
    <sheet name="Country-Specific Data" sheetId="72" state="hidden" r:id="rId7"/>
    <sheet name="Background Data" sheetId="88" state="hidden" r:id="rId8"/>
    <sheet name="Key, Version Control and Errors" sheetId="55" state="hidden" r:id="rId9"/>
    <sheet name="Admin" sheetId="31" state="hidden" r:id="rId10"/>
    <sheet name="Units" sheetId="45" state="hidden" r:id="rId11"/>
  </sheets>
  <definedNames>
    <definedName name="_AtRisk_SimSetting_AutomaticallyGenerateReports" hidden="1">FALSE</definedName>
    <definedName name="_AtRisk_SimSetting_AutomaticResultsDisplayMode" hidden="1">1</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dRecalcBehavior" hidden="1">0</definedName>
    <definedName name="_AtRisk_SimSetting_StdRecalcWithoutRiskStatic" hidden="1">0</definedName>
    <definedName name="_AtRisk_SimSetting_StdRecalcWithoutRiskStaticPercentile" hidden="1">0.5</definedName>
    <definedName name="_xlnm._FilterDatabase" localSheetId="10" hidden="1">Units!$A$7:$A$134</definedName>
    <definedName name="a_Area">OFFSET(Units!$AA$34,0,0,Units!$AC$31,3)</definedName>
    <definedName name="a_Count">OFFSET(Units!$AI$34,0,0,Units!$AK$31,3)</definedName>
    <definedName name="a_Countries" comment="Dynamic range">OFFSET('Country-Specific Data'!$B$20, 0,0,'Country-Specific Data'!$B$16-1,'Country-Specific Data'!$D$15)</definedName>
    <definedName name="a_Distance">OFFSET(Units!$G$34,0,0,Units!$I$31,3)</definedName>
    <definedName name="a_Energy">OFFSET(Units!$O$34,0,0,Units!$Q$31,3)</definedName>
    <definedName name="a_Freight">OFFSET(Units!$S$34,0,0,Units!$U$31,3)</definedName>
    <definedName name="a_NewVersions">'Key, Version Control and Errors'!$D$23:$N$32</definedName>
    <definedName name="a_OldVersions">'Key, Version Control and Errors'!$D$22:$N$31</definedName>
    <definedName name="a_ReptUnitsCarbon">OFFSET(Units!$T$8,0,0,Units!$U$6,2)</definedName>
    <definedName name="a_ReptUnitsEnergy">OFFSET(Units!$Q$8,0,0,Units!$R$6,2)</definedName>
    <definedName name="a_Speed">OFFSET(Units!$AE$34,0,0,Units!$AG$31,3)</definedName>
    <definedName name="a_Time">OFFSET(Units!$W$34,0,0,Units!$Y$31,3)</definedName>
    <definedName name="a_UnitsNames">OFFSET(Units!$L$8,0,0,Units!$C$6,1)</definedName>
    <definedName name="a_Volume">OFFSET(Units!$K$34,0,0,Units!$M$31,3)</definedName>
    <definedName name="a_Weight">OFFSET(Units!$C$34,0,0,Units!$E$31,3)</definedName>
    <definedName name="abc" localSheetId="8" hidden="1">{"key inputs",#N/A,TRUE,"Key Inputs";"key outputs",#N/A,TRUE,"Outputs";"Other inputs",#N/A,TRUE,"Other Inputs";"Revenue",#N/A,TRUE,"Rev"}</definedName>
    <definedName name="abc" hidden="1">{"key inputs",#N/A,TRUE,"Key Inputs";"key outputs",#N/A,TRUE,"Outputs";"Other inputs",#N/A,TRUE,"Other Inputs";"Revenue",#N/A,TRUE,"Rev"}</definedName>
    <definedName name="anscount" hidden="1">1</definedName>
    <definedName name="asd" localSheetId="8" hidden="1">{"key inputs",#N/A,FALSE,"Key Inputs";"key outputs",#N/A,FALSE,"Outputs";"Other inputs",#N/A,FALSE,"Other Inputs";"cashflow",#N/A,FALSE,"Statemnts"}</definedName>
    <definedName name="asd" hidden="1">{"key inputs",#N/A,FALSE,"Key Inputs";"key outputs",#N/A,FALSE,"Outputs";"Other inputs",#N/A,FALSE,"Other Inputs";"cashflow",#N/A,FALSE,"Statemnts"}</definedName>
    <definedName name="f" localSheetId="8" hidden="1">{"key inputs",#N/A,FALSE,"Key Inputs";"key outputs",#N/A,FALSE,"Outputs";"Other inputs",#N/A,FALSE,"Other Inputs";"cashflow",#N/A,FALSE,"Statemnts"}</definedName>
    <definedName name="f" hidden="1">{"key inputs",#N/A,FALSE,"Key Inputs";"key outputs",#N/A,FALSE,"Outputs";"Other inputs",#N/A,FALSE,"Other Inputs";"cashflow",#N/A,FALSE,"Statemnts"}</definedName>
    <definedName name="l_Area" comment="List of dimensions - dynamic range">OFFSET(Units!$AA$34,0,0,Units!$AC$31,1)</definedName>
    <definedName name="l_Cols">Admin!$D$13:$D$268</definedName>
    <definedName name="l_Count">OFFSET(Units!$AI$34,0,0,Units!$AK$31,1)</definedName>
    <definedName name="l_Countries" comment="Dynamic range">OFFSET('Country-Specific Data'!$B$18,0,0,'Country-Specific Data'!$B$16,1)</definedName>
    <definedName name="l_Dimension" comment="List of dimensions - dynamic range">OFFSET(Units!$C$8,0,0,Units!$C$6,1)</definedName>
    <definedName name="l_Distance" comment="List of dimensions - dynamic range">OFFSET(Units!$G$34,0,0,Units!$I$31,1)</definedName>
    <definedName name="l_EnConBasis" comment="Dynamic range">OFFSET(Admin!$F$13,0,0,Admin!$F$11,1)</definedName>
    <definedName name="l_Energy" comment="List of dimensions - dynamic range">OFFSET(Units!$O$34,0,0,Units!$Q$31,1)</definedName>
    <definedName name="l_Freight" comment="List of dimensions - dynamic range">OFFSET(Units!$S$34,0,0,Units!$U$31,1)</definedName>
    <definedName name="l_OKErr">Admin!$C$13:$C$14</definedName>
    <definedName name="l_Speed" comment="List of dimensions - dynamic range">OFFSET(Units!$AE$34,0,0,Units!$AG$31,1)</definedName>
    <definedName name="l_Time" comment="List of dimensions - dynamic range">OFFSET(Units!$W$34,0,0,Units!$Y$31,1)</definedName>
    <definedName name="l_TreatEnergy" comment="Dynamic range">OFFSET(Admin!$G$13,0,0,Admin!$G$11,1)</definedName>
    <definedName name="l_UnitArrayAddresses">OFFSET(Units!$M$8,0,0,Units!$C$6,1)</definedName>
    <definedName name="l_UnitListAddresses">OFFSET(Units!$J$8,0,0,Units!$C$6,1)</definedName>
    <definedName name="l_Units" comment="Model default units - dynamic range">OFFSET(Units!$E$8,0,0,Units!$C$6,1)</definedName>
    <definedName name="l_Unlocking">Admin!$F$13:$F$15</definedName>
    <definedName name="l_Veracity">Admin!$B$13:$B$14</definedName>
    <definedName name="l_VeryHideSheets" comment="Dynamic Range">OFFSET(Admin!$H$13,0,0,Admin!$H$11,1)</definedName>
    <definedName name="l_Volume" comment="List of dimensions - dynamic range">OFFSET(Units!$K$34,0,0,Units!$M$31,1)</definedName>
    <definedName name="l_Weight" comment="List of unit options - dynamic range">OFFSET(Units!$C$34,0,0,Units!$E$31,1)</definedName>
    <definedName name="l_YesNo" comment="Dynamic range">OFFSET(Admin!$E$13,0,0,Admin!$E$11,1)</definedName>
    <definedName name="n_Approver">'Key, Version Control and Errors'!$G$22</definedName>
    <definedName name="n_Author">'Key, Version Control and Errors'!$F$22</definedName>
    <definedName name="n_CarbonUnits">'Front Sheet'!$H$68</definedName>
    <definedName name="n_Changes">'Key, Version Control and Errors'!$H$22</definedName>
    <definedName name="n_Country">'Front Sheet'!$C$27</definedName>
    <definedName name="n_Date">'Key, Version Control and Errors'!$E$22</definedName>
    <definedName name="n_EnComBasis">'Front Sheet'!#REF!</definedName>
    <definedName name="n_EnergyUnits">'Front Sheet'!$F$68</definedName>
    <definedName name="n_ErrorChecking">'Key, Version Control and Errors'!$M$36</definedName>
    <definedName name="n_TreatEnergy">'Front Sheet'!#REF!</definedName>
    <definedName name="n_Version">'Key, Version Control and Errors'!$D$22</definedName>
    <definedName name="n_VersionControlSheet">'Key, Version Control and Errors'!$C$19</definedName>
    <definedName name="RiskAfterRecalcMacro" hidden="1">""</definedName>
    <definedName name="RiskAfterSimMacro" hidden="1">""</definedName>
    <definedName name="RiskBeforeRecalcMacro" hidden="1">""</definedName>
    <definedName name="RiskBeforeSimMacro" hidden="1">""</definedName>
    <definedName name="RiskUseMultipleCPUs" hidden="1">FALSE</definedName>
    <definedName name="u_Area">Units!$AB$31</definedName>
    <definedName name="u_Count">Units!$AJ$31</definedName>
    <definedName name="u_Distance">Units!$H$31</definedName>
    <definedName name="u_Energy">Units!$P$31</definedName>
    <definedName name="u_Freight">Units!$T$31</definedName>
    <definedName name="u_Speed">Units!$AF$31</definedName>
    <definedName name="u_Time">Units!$X$31</definedName>
    <definedName name="u_Volume">Units!$L$31</definedName>
    <definedName name="u_Weight">Units!$D$31</definedName>
    <definedName name="wrn.Inputs._.outputs." localSheetId="8" hidden="1">{"key inputs",#N/A,FALSE,"Key Inputs";"key outputs",#N/A,FALSE,"Outputs";"Other inputs",#N/A,FALSE,"Other Inputs";"cashflow",#N/A,FALSE,"Statemnts"}</definedName>
    <definedName name="wrn.Inputs._.outputs." hidden="1">{"key inputs",#N/A,FALSE,"Key Inputs";"key outputs",#N/A,FALSE,"Outputs";"Other inputs",#N/A,FALSE,"Other Inputs";"cashflow",#N/A,FALSE,"Statemnts"}</definedName>
    <definedName name="wrn.Summary._.results." localSheetId="8" hidden="1">{"key inputs",#N/A,TRUE,"Key Inputs";"key outputs",#N/A,TRUE,"Outputs";"Other inputs",#N/A,TRUE,"Other Inputs";"Revenue",#N/A,TRUE,"Rev"}</definedName>
    <definedName name="wrn.Summary._.results." hidden="1">{"key inputs",#N/A,TRUE,"Key Inputs";"key outputs",#N/A,TRUE,"Outputs";"Other inputs",#N/A,TRUE,"Other Inputs";"Revenue",#N/A,TRUE,"Rev"}</definedName>
  </definedNames>
  <calcPr calcId="145621"/>
</workbook>
</file>

<file path=xl/calcChain.xml><?xml version="1.0" encoding="utf-8"?>
<calcChain xmlns="http://schemas.openxmlformats.org/spreadsheetml/2006/main">
  <c r="B8" i="87" l="1"/>
  <c r="B17" i="85" l="1"/>
  <c r="D7" i="85" l="1"/>
  <c r="D8" i="85"/>
  <c r="C46" i="83" l="1"/>
  <c r="C45" i="83"/>
  <c r="C42" i="83"/>
  <c r="C41" i="83"/>
  <c r="C40" i="83"/>
  <c r="C30" i="83"/>
  <c r="B68" i="83" l="1"/>
  <c r="E51" i="83"/>
  <c r="G49" i="87" l="1"/>
  <c r="D49" i="87"/>
  <c r="E56" i="83"/>
  <c r="E57" i="83" s="1"/>
  <c r="H86" i="83" l="1"/>
  <c r="F86" i="83"/>
  <c r="B86" i="83" l="1"/>
  <c r="B28" i="87" s="1"/>
  <c r="B80" i="83"/>
  <c r="B84" i="83"/>
  <c r="B25" i="87" l="1"/>
  <c r="B15" i="87"/>
  <c r="H84" i="83"/>
  <c r="F84" i="83"/>
  <c r="B26" i="85" l="1"/>
  <c r="E62" i="83" l="1"/>
  <c r="E63" i="83"/>
  <c r="E64" i="83"/>
  <c r="E65" i="83"/>
  <c r="E61" i="83"/>
  <c r="E55" i="83"/>
  <c r="C18" i="88"/>
  <c r="B94" i="83" l="1"/>
  <c r="G8" i="87"/>
  <c r="G52" i="87" s="1"/>
  <c r="G9" i="87"/>
  <c r="B90" i="83" l="1"/>
  <c r="B92" i="83"/>
  <c r="B88" i="83"/>
  <c r="B82" i="83"/>
  <c r="B72" i="83"/>
  <c r="B52" i="87"/>
  <c r="B78" i="83" l="1"/>
  <c r="B76" i="83"/>
  <c r="B70" i="83"/>
  <c r="D15" i="87"/>
  <c r="D48" i="87" s="1"/>
  <c r="G14" i="87" l="1"/>
  <c r="G47" i="87" s="1"/>
  <c r="D14" i="87"/>
  <c r="D47" i="87" s="1"/>
  <c r="H80" i="83" l="1"/>
  <c r="F80" i="83"/>
  <c r="G13" i="87"/>
  <c r="D13" i="87"/>
  <c r="B13" i="87"/>
  <c r="B23" i="87" l="1"/>
  <c r="B46" i="87"/>
  <c r="D23" i="87"/>
  <c r="D46" i="87"/>
  <c r="G23" i="87"/>
  <c r="G46" i="87"/>
  <c r="D8" i="87"/>
  <c r="D52" i="87" s="1"/>
  <c r="D9" i="87"/>
  <c r="D19" i="87" s="1"/>
  <c r="D53" i="87" s="1"/>
  <c r="D10" i="87"/>
  <c r="D20" i="87" s="1"/>
  <c r="D54" i="87" s="1"/>
  <c r="D11" i="87"/>
  <c r="D21" i="87" s="1"/>
  <c r="D55" i="87" s="1"/>
  <c r="D12" i="87"/>
  <c r="D24" i="87"/>
  <c r="D25" i="87"/>
  <c r="D16" i="87"/>
  <c r="D26" i="87" s="1"/>
  <c r="D28" i="87" s="1"/>
  <c r="F70" i="83"/>
  <c r="D22" i="87" l="1"/>
  <c r="D56" i="87" s="1"/>
  <c r="D45" i="87"/>
  <c r="F27" i="72"/>
  <c r="F26" i="72"/>
  <c r="F25" i="72"/>
  <c r="F24" i="72"/>
  <c r="F23" i="72"/>
  <c r="F22" i="72"/>
  <c r="F21" i="72"/>
  <c r="F20" i="72"/>
  <c r="E26" i="72"/>
  <c r="E25" i="72"/>
  <c r="E24" i="72"/>
  <c r="E23" i="72"/>
  <c r="E22" i="72"/>
  <c r="E21" i="72"/>
  <c r="E20" i="72"/>
  <c r="D23" i="72"/>
  <c r="D22" i="72"/>
  <c r="D21" i="72"/>
  <c r="D20" i="72"/>
  <c r="D25" i="72"/>
  <c r="D26" i="72"/>
  <c r="E35" i="83" l="1"/>
  <c r="I27" i="72" l="1"/>
  <c r="E27" i="72" s="1"/>
  <c r="K27" i="72"/>
  <c r="C19" i="55" l="1"/>
  <c r="C9" i="72" a="1"/>
  <c r="C9" i="72" s="1"/>
  <c r="H9" i="72"/>
  <c r="N9" i="72"/>
  <c r="P9" i="72"/>
  <c r="D10" i="72"/>
  <c r="H10" i="72"/>
  <c r="P10" i="72"/>
  <c r="Q10" i="72"/>
  <c r="P27" i="72"/>
  <c r="P26" i="72"/>
  <c r="P21" i="72"/>
  <c r="Q15" i="72"/>
  <c r="Q26" i="72" s="1"/>
  <c r="B16" i="72"/>
  <c r="I9" i="72" l="1"/>
  <c r="N19" i="72"/>
  <c r="P19" i="72" s="1"/>
  <c r="P20" i="72" s="1"/>
  <c r="A12" i="72"/>
  <c r="Q27" i="72"/>
  <c r="H19" i="72"/>
  <c r="D27" i="72" s="1"/>
  <c r="Q21" i="72"/>
  <c r="S21" i="72" s="1"/>
  <c r="L11" i="72"/>
  <c r="L10" i="72"/>
  <c r="C10" i="72"/>
  <c r="M9" i="72"/>
  <c r="E9" i="72"/>
  <c r="I19" i="72"/>
  <c r="D11" i="72"/>
  <c r="I10" i="72"/>
  <c r="R9" i="72"/>
  <c r="J9" i="72"/>
  <c r="D9" i="72"/>
  <c r="S27" i="72"/>
  <c r="S26" i="72"/>
  <c r="H11" i="72"/>
  <c r="M10" i="72"/>
  <c r="E10" i="72"/>
  <c r="Q9" i="72"/>
  <c r="L9" i="72"/>
  <c r="F9" i="72"/>
  <c r="P11" i="72"/>
  <c r="S11" i="72"/>
  <c r="O11" i="72"/>
  <c r="K11" i="72"/>
  <c r="G11" i="72"/>
  <c r="C11" i="72"/>
  <c r="R11" i="72"/>
  <c r="N11" i="72"/>
  <c r="J11" i="72"/>
  <c r="F11" i="72"/>
  <c r="S10" i="72"/>
  <c r="O10" i="72"/>
  <c r="K10" i="72"/>
  <c r="G10" i="72"/>
  <c r="Q11" i="72"/>
  <c r="M11" i="72"/>
  <c r="I11" i="72"/>
  <c r="E11" i="72"/>
  <c r="R10" i="72"/>
  <c r="N10" i="72"/>
  <c r="J10" i="72"/>
  <c r="F10" i="72"/>
  <c r="S9" i="72"/>
  <c r="O9" i="72"/>
  <c r="K9" i="72"/>
  <c r="G9" i="72"/>
  <c r="P25" i="72" l="1"/>
  <c r="P24" i="72"/>
  <c r="P22" i="72"/>
  <c r="Q19" i="72"/>
  <c r="S19" i="72" s="1"/>
  <c r="P23" i="72"/>
  <c r="D24" i="72"/>
  <c r="Q23" i="72" l="1"/>
  <c r="S23" i="72" s="1"/>
  <c r="Q20" i="72"/>
  <c r="Q25" i="72"/>
  <c r="S25" i="72" s="1"/>
  <c r="Q22" i="72"/>
  <c r="S22" i="72" s="1"/>
  <c r="Q24" i="72"/>
  <c r="S24" i="72" s="1"/>
  <c r="G5" i="85"/>
  <c r="E48" i="83" l="1"/>
  <c r="C26" i="85" s="1"/>
  <c r="B14" i="87" l="1"/>
  <c r="B47" i="87" s="1"/>
  <c r="B11" i="87"/>
  <c r="B9" i="87"/>
  <c r="G10" i="87"/>
  <c r="G20" i="87" s="1"/>
  <c r="G54" i="87" s="1"/>
  <c r="G11" i="87"/>
  <c r="G21" i="87" s="1"/>
  <c r="B19" i="87"/>
  <c r="B53" i="87" s="1"/>
  <c r="G16" i="87"/>
  <c r="G26" i="87" s="1"/>
  <c r="G28" i="87" s="1"/>
  <c r="G56" i="87" s="1"/>
  <c r="G15" i="87"/>
  <c r="G25" i="87" s="1"/>
  <c r="G24" i="87"/>
  <c r="G12" i="87"/>
  <c r="G19" i="87"/>
  <c r="G53" i="87" s="1"/>
  <c r="H92" i="83"/>
  <c r="H90" i="83"/>
  <c r="H88" i="83"/>
  <c r="H82" i="83"/>
  <c r="H78" i="83"/>
  <c r="H76" i="83"/>
  <c r="H74" i="83"/>
  <c r="H72" i="83"/>
  <c r="H70" i="83"/>
  <c r="B24" i="87"/>
  <c r="B21" i="87"/>
  <c r="B55" i="87" s="1"/>
  <c r="G22" i="87" l="1"/>
  <c r="G45" i="87"/>
  <c r="G55" i="87"/>
  <c r="G48" i="87"/>
  <c r="F72" i="83"/>
  <c r="F88" i="83"/>
  <c r="F82" i="83"/>
  <c r="F78" i="83"/>
  <c r="F76" i="83"/>
  <c r="F90" i="83"/>
  <c r="B22" i="87" l="1"/>
  <c r="B12" i="87"/>
  <c r="B45" i="87" s="1"/>
  <c r="B20" i="87"/>
  <c r="B54" i="87" s="1"/>
  <c r="B10" i="87"/>
  <c r="F74" i="83"/>
  <c r="E58" i="83" l="1"/>
  <c r="K26" i="72" l="1"/>
  <c r="K25" i="72"/>
  <c r="K24" i="72"/>
  <c r="K23" i="72"/>
  <c r="K22" i="72"/>
  <c r="K21" i="72"/>
  <c r="K20" i="72"/>
  <c r="K19" i="72" l="1"/>
  <c r="D19" i="72"/>
  <c r="E19" i="72"/>
  <c r="E30" i="83"/>
  <c r="C14" i="85" s="1"/>
  <c r="E33" i="83"/>
  <c r="E32" i="83"/>
  <c r="L21" i="72"/>
  <c r="L22" i="72"/>
  <c r="L23" i="72"/>
  <c r="L24" i="72"/>
  <c r="L25" i="72"/>
  <c r="L26" i="72"/>
  <c r="L20" i="72"/>
  <c r="L19" i="72" l="1"/>
  <c r="C24" i="85"/>
  <c r="E34" i="83"/>
  <c r="C25" i="85" s="1"/>
  <c r="S20" i="72"/>
  <c r="E31" i="83"/>
  <c r="Q6" i="45" l="1"/>
  <c r="F92" i="83"/>
  <c r="T6" i="45"/>
  <c r="U10" i="45"/>
  <c r="U11" i="45" s="1"/>
  <c r="U6" i="45" s="1"/>
  <c r="U8" i="45"/>
  <c r="E5" i="87" l="1"/>
  <c r="E4" i="87"/>
  <c r="C36" i="85" l="1"/>
  <c r="C35" i="85"/>
  <c r="D5" i="87"/>
  <c r="D4" i="87"/>
  <c r="M41" i="55" l="1"/>
  <c r="M42" i="55"/>
  <c r="M43" i="55"/>
  <c r="M44" i="55"/>
  <c r="M40" i="55"/>
  <c r="D41" i="55"/>
  <c r="G42" i="55"/>
  <c r="G44" i="55"/>
  <c r="D44" i="55"/>
  <c r="G43" i="55"/>
  <c r="J43" i="55"/>
  <c r="J44" i="55"/>
  <c r="D43" i="55"/>
  <c r="D42" i="55"/>
  <c r="J41" i="55"/>
  <c r="J42" i="55"/>
  <c r="G41" i="55"/>
  <c r="J39" i="55"/>
  <c r="G39" i="55"/>
  <c r="D40" i="55"/>
  <c r="J40" i="55"/>
  <c r="G40" i="55"/>
  <c r="D39" i="55"/>
  <c r="M39" i="55"/>
  <c r="M36" i="55" l="1" a="1"/>
  <c r="M36" i="55" s="1"/>
  <c r="C38" i="85"/>
  <c r="C58" i="85" s="1"/>
  <c r="C39" i="85"/>
  <c r="C40" i="85"/>
  <c r="C41" i="85"/>
  <c r="C42" i="85"/>
  <c r="C37" i="85"/>
  <c r="C5" i="87"/>
  <c r="C4" i="87"/>
  <c r="D15" i="72"/>
  <c r="C16" i="85"/>
  <c r="C51" i="85" s="1"/>
  <c r="B12" i="72" l="1" a="1"/>
  <c r="H12" i="72" s="1"/>
  <c r="E47" i="83"/>
  <c r="B12" i="72" l="1"/>
  <c r="O12" i="72"/>
  <c r="M12" i="72"/>
  <c r="E12" i="72"/>
  <c r="C12" i="72"/>
  <c r="D12" i="72"/>
  <c r="Q12" i="72"/>
  <c r="R12" i="72"/>
  <c r="P12" i="72"/>
  <c r="K12" i="72"/>
  <c r="F12" i="72"/>
  <c r="I12" i="72"/>
  <c r="G12" i="72"/>
  <c r="S12" i="72"/>
  <c r="J12" i="72"/>
  <c r="N12" i="72"/>
  <c r="L12" i="72"/>
  <c r="E7" i="85" a="1"/>
  <c r="F7" i="85" l="1"/>
  <c r="G7" i="85"/>
  <c r="E7" i="85"/>
  <c r="F8" i="85"/>
  <c r="G8" i="85"/>
  <c r="E16" i="85"/>
  <c r="F21" i="85"/>
  <c r="G21" i="85"/>
  <c r="E21" i="85"/>
  <c r="F22" i="85"/>
  <c r="G22" i="85"/>
  <c r="E22" i="85"/>
  <c r="H15" i="85"/>
  <c r="H13" i="85"/>
  <c r="H19" i="85"/>
  <c r="H10" i="85"/>
  <c r="G19" i="85"/>
  <c r="F17" i="85"/>
  <c r="E17" i="85"/>
  <c r="E18" i="85"/>
  <c r="H11" i="85"/>
  <c r="H7" i="85"/>
  <c r="F11" i="85"/>
  <c r="G11" i="85"/>
  <c r="E11" i="85"/>
  <c r="F12" i="85"/>
  <c r="G12" i="85"/>
  <c r="F9" i="85"/>
  <c r="G9" i="85"/>
  <c r="E9" i="85"/>
  <c r="F10" i="85"/>
  <c r="G10" i="85"/>
  <c r="E10" i="85"/>
  <c r="G20" i="85"/>
  <c r="H22" i="85"/>
  <c r="H9" i="85"/>
  <c r="H18" i="85"/>
  <c r="H17" i="85"/>
  <c r="F15" i="85"/>
  <c r="G15" i="85"/>
  <c r="E15" i="85"/>
  <c r="F16" i="85"/>
  <c r="G16" i="85"/>
  <c r="F13" i="85"/>
  <c r="G13" i="85"/>
  <c r="E13" i="85"/>
  <c r="F14" i="85"/>
  <c r="G14" i="85"/>
  <c r="E14" i="85"/>
  <c r="E12" i="85"/>
  <c r="H21" i="85"/>
  <c r="H8" i="85"/>
  <c r="H14" i="85"/>
  <c r="H16" i="85"/>
  <c r="F19" i="85"/>
  <c r="E19" i="85"/>
  <c r="F20" i="85"/>
  <c r="E8" i="85"/>
  <c r="G17" i="85"/>
  <c r="F18" i="85"/>
  <c r="G18" i="85"/>
  <c r="E20" i="85"/>
  <c r="H12" i="85"/>
  <c r="H20" i="85"/>
  <c r="C64" i="85" l="1"/>
  <c r="C59" i="85"/>
  <c r="C60" i="85"/>
  <c r="D22" i="85" l="1"/>
  <c r="D21" i="85"/>
  <c r="D20" i="85"/>
  <c r="D19" i="85"/>
  <c r="D17" i="85"/>
  <c r="D16" i="85"/>
  <c r="D13" i="85"/>
  <c r="D10" i="85"/>
  <c r="D9" i="85"/>
  <c r="B7" i="85"/>
  <c r="B8" i="85"/>
  <c r="B9" i="85"/>
  <c r="B10" i="85"/>
  <c r="B11" i="85"/>
  <c r="B13" i="85"/>
  <c r="B14" i="85"/>
  <c r="B15" i="85"/>
  <c r="B16" i="85"/>
  <c r="B18" i="85"/>
  <c r="B19" i="85"/>
  <c r="B20" i="85"/>
  <c r="B21" i="85"/>
  <c r="B22" i="85"/>
  <c r="B23" i="85"/>
  <c r="B27" i="85"/>
  <c r="B28" i="85"/>
  <c r="B29" i="85"/>
  <c r="B30" i="85"/>
  <c r="B31" i="85"/>
  <c r="B32" i="85"/>
  <c r="B33" i="85"/>
  <c r="B63" i="85" l="1"/>
  <c r="D111" i="85"/>
  <c r="D112" i="85" s="1"/>
  <c r="E39" i="83" l="1"/>
  <c r="E40" i="83"/>
  <c r="E41" i="83"/>
  <c r="E42" i="83"/>
  <c r="E43" i="83"/>
  <c r="E52" i="83"/>
  <c r="E46" i="83"/>
  <c r="C19" i="85" s="1"/>
  <c r="C21" i="85"/>
  <c r="C22" i="85"/>
  <c r="C23" i="85"/>
  <c r="C27" i="85"/>
  <c r="C28" i="85"/>
  <c r="E38" i="83"/>
  <c r="G38" i="83"/>
  <c r="G39" i="83"/>
  <c r="D15" i="85"/>
  <c r="D18" i="85"/>
  <c r="C8" i="85" l="1"/>
  <c r="C102" i="85" s="1"/>
  <c r="C7" i="85"/>
  <c r="C101" i="85" s="1"/>
  <c r="C11" i="85"/>
  <c r="E44" i="83"/>
  <c r="C10" i="85"/>
  <c r="C110" i="85" s="1"/>
  <c r="E45" i="83"/>
  <c r="C18" i="85" s="1"/>
  <c r="C104" i="85" s="1"/>
  <c r="C13" i="85"/>
  <c r="C17" i="85"/>
  <c r="C111" i="85" s="1"/>
  <c r="C9" i="85"/>
  <c r="C30" i="85"/>
  <c r="C29" i="85"/>
  <c r="C33" i="85"/>
  <c r="C31" i="85"/>
  <c r="C32" i="85"/>
  <c r="C103" i="85" l="1"/>
  <c r="E96" i="83" s="1"/>
  <c r="G96" i="83" s="1"/>
  <c r="C47" i="85"/>
  <c r="C76" i="85" s="1"/>
  <c r="C114" i="85"/>
  <c r="C117" i="85" s="1"/>
  <c r="C112" i="85"/>
  <c r="G11" i="31"/>
  <c r="H11" i="31"/>
  <c r="E11" i="31"/>
  <c r="F4" i="31"/>
  <c r="F5" i="31" s="1"/>
  <c r="F11" i="31"/>
  <c r="C105" i="85" l="1"/>
  <c r="G4" i="31"/>
  <c r="G5" i="31" s="1"/>
  <c r="C20" i="85" l="1"/>
  <c r="C62" i="85" l="1"/>
  <c r="C61" i="85"/>
  <c r="C65" i="85" l="1"/>
  <c r="C66" i="85"/>
  <c r="P11" i="28"/>
  <c r="P10" i="28"/>
  <c r="C3" i="45" l="1"/>
  <c r="AF35" i="45" l="1"/>
  <c r="AF36" i="45" s="1"/>
  <c r="AK134" i="45"/>
  <c r="AK133" i="45"/>
  <c r="AK132" i="45"/>
  <c r="AK131" i="45"/>
  <c r="AK130" i="45"/>
  <c r="AK129" i="45"/>
  <c r="AK128" i="45"/>
  <c r="AK127" i="45"/>
  <c r="AK126" i="45"/>
  <c r="AK125" i="45"/>
  <c r="AK124" i="45"/>
  <c r="AK123" i="45"/>
  <c r="AK122" i="45"/>
  <c r="AK121" i="45"/>
  <c r="AK120" i="45"/>
  <c r="AK119" i="45"/>
  <c r="AK118" i="45"/>
  <c r="AK117" i="45"/>
  <c r="AK116" i="45"/>
  <c r="AK115" i="45"/>
  <c r="AK114" i="45"/>
  <c r="AK113" i="45"/>
  <c r="AK112" i="45"/>
  <c r="AK111" i="45"/>
  <c r="AK110" i="45"/>
  <c r="AK109" i="45"/>
  <c r="AK108" i="45"/>
  <c r="AK107" i="45"/>
  <c r="AK106" i="45"/>
  <c r="AK105" i="45"/>
  <c r="AK104" i="45"/>
  <c r="AK103" i="45"/>
  <c r="AK102" i="45"/>
  <c r="AK101" i="45"/>
  <c r="AK100" i="45"/>
  <c r="AK99" i="45"/>
  <c r="AK98" i="45"/>
  <c r="AK97" i="45"/>
  <c r="AK96" i="45"/>
  <c r="AK95" i="45"/>
  <c r="AK94" i="45"/>
  <c r="AK93" i="45"/>
  <c r="AK92" i="45"/>
  <c r="AK91" i="45"/>
  <c r="AK90" i="45"/>
  <c r="AK89" i="45"/>
  <c r="AK88" i="45"/>
  <c r="AK87" i="45"/>
  <c r="AK86" i="45"/>
  <c r="AK85" i="45"/>
  <c r="AK84" i="45"/>
  <c r="AK83" i="45"/>
  <c r="AK82" i="45"/>
  <c r="AK81" i="45"/>
  <c r="AK80" i="45"/>
  <c r="AK79" i="45"/>
  <c r="AK78" i="45"/>
  <c r="AK77" i="45"/>
  <c r="AK76" i="45"/>
  <c r="AK75" i="45"/>
  <c r="AK74" i="45"/>
  <c r="AK73" i="45"/>
  <c r="AK72" i="45"/>
  <c r="AK71" i="45"/>
  <c r="AK70" i="45"/>
  <c r="AK69" i="45"/>
  <c r="AK68" i="45"/>
  <c r="AK67" i="45"/>
  <c r="AK66" i="45"/>
  <c r="AK65" i="45"/>
  <c r="AK64" i="45"/>
  <c r="AK63" i="45"/>
  <c r="AK62" i="45"/>
  <c r="AK61" i="45"/>
  <c r="AK60" i="45"/>
  <c r="AK59" i="45"/>
  <c r="AK58" i="45"/>
  <c r="AK57" i="45"/>
  <c r="AK56" i="45"/>
  <c r="AK55" i="45"/>
  <c r="AK54" i="45"/>
  <c r="AK53" i="45"/>
  <c r="AK52" i="45"/>
  <c r="AK51" i="45"/>
  <c r="AK50" i="45"/>
  <c r="AK49" i="45"/>
  <c r="AK48" i="45"/>
  <c r="AK47" i="45"/>
  <c r="AK46" i="45"/>
  <c r="AK45" i="45"/>
  <c r="AK44" i="45"/>
  <c r="AK43" i="45"/>
  <c r="AK42" i="45"/>
  <c r="AK41" i="45"/>
  <c r="AK40" i="45"/>
  <c r="AK39" i="45"/>
  <c r="AK33" i="45"/>
  <c r="AJ33" i="45"/>
  <c r="AI33" i="45"/>
  <c r="AK31" i="45"/>
  <c r="AG134" i="45" l="1"/>
  <c r="AC134" i="45"/>
  <c r="Y134" i="45"/>
  <c r="U134" i="45"/>
  <c r="Q134" i="45"/>
  <c r="M134" i="45"/>
  <c r="I134" i="45"/>
  <c r="E134" i="45"/>
  <c r="AG133" i="45"/>
  <c r="AC133" i="45"/>
  <c r="Y133" i="45"/>
  <c r="U133" i="45"/>
  <c r="Q133" i="45"/>
  <c r="M133" i="45"/>
  <c r="I133" i="45"/>
  <c r="E133" i="45"/>
  <c r="AG132" i="45"/>
  <c r="AC132" i="45"/>
  <c r="Y132" i="45"/>
  <c r="U132" i="45"/>
  <c r="Q132" i="45"/>
  <c r="M132" i="45"/>
  <c r="I132" i="45"/>
  <c r="E132" i="45"/>
  <c r="AG131" i="45"/>
  <c r="AC131" i="45"/>
  <c r="Y131" i="45"/>
  <c r="U131" i="45"/>
  <c r="Q131" i="45"/>
  <c r="M131" i="45"/>
  <c r="I131" i="45"/>
  <c r="E131" i="45"/>
  <c r="AG130" i="45"/>
  <c r="AC130" i="45"/>
  <c r="Y130" i="45"/>
  <c r="U130" i="45"/>
  <c r="Q130" i="45"/>
  <c r="M130" i="45"/>
  <c r="I130" i="45"/>
  <c r="E130" i="45"/>
  <c r="AG129" i="45"/>
  <c r="AC129" i="45"/>
  <c r="Y129" i="45"/>
  <c r="U129" i="45"/>
  <c r="Q129" i="45"/>
  <c r="M129" i="45"/>
  <c r="I129" i="45"/>
  <c r="E129" i="45"/>
  <c r="AG128" i="45"/>
  <c r="AC128" i="45"/>
  <c r="Y128" i="45"/>
  <c r="U128" i="45"/>
  <c r="Q128" i="45"/>
  <c r="M128" i="45"/>
  <c r="I128" i="45"/>
  <c r="E128" i="45"/>
  <c r="AG127" i="45"/>
  <c r="AC127" i="45"/>
  <c r="Y127" i="45"/>
  <c r="U127" i="45"/>
  <c r="Q127" i="45"/>
  <c r="M127" i="45"/>
  <c r="I127" i="45"/>
  <c r="E127" i="45"/>
  <c r="AG126" i="45"/>
  <c r="AC126" i="45"/>
  <c r="Y126" i="45"/>
  <c r="U126" i="45"/>
  <c r="Q126" i="45"/>
  <c r="M126" i="45"/>
  <c r="I126" i="45"/>
  <c r="E126" i="45"/>
  <c r="AG125" i="45"/>
  <c r="AC125" i="45"/>
  <c r="Y125" i="45"/>
  <c r="U125" i="45"/>
  <c r="Q125" i="45"/>
  <c r="M125" i="45"/>
  <c r="I125" i="45"/>
  <c r="E125" i="45"/>
  <c r="AG124" i="45"/>
  <c r="AC124" i="45"/>
  <c r="Y124" i="45"/>
  <c r="U124" i="45"/>
  <c r="Q124" i="45"/>
  <c r="M124" i="45"/>
  <c r="I124" i="45"/>
  <c r="E124" i="45"/>
  <c r="AG123" i="45"/>
  <c r="AC123" i="45"/>
  <c r="Y123" i="45"/>
  <c r="U123" i="45"/>
  <c r="Q123" i="45"/>
  <c r="M123" i="45"/>
  <c r="I123" i="45"/>
  <c r="E123" i="45"/>
  <c r="AG122" i="45"/>
  <c r="AC122" i="45"/>
  <c r="Y122" i="45"/>
  <c r="U122" i="45"/>
  <c r="Q122" i="45"/>
  <c r="M122" i="45"/>
  <c r="I122" i="45"/>
  <c r="E122" i="45"/>
  <c r="AG121" i="45"/>
  <c r="AC121" i="45"/>
  <c r="Y121" i="45"/>
  <c r="U121" i="45"/>
  <c r="Q121" i="45"/>
  <c r="M121" i="45"/>
  <c r="I121" i="45"/>
  <c r="E121" i="45"/>
  <c r="AG120" i="45"/>
  <c r="AC120" i="45"/>
  <c r="Y120" i="45"/>
  <c r="U120" i="45"/>
  <c r="Q120" i="45"/>
  <c r="M120" i="45"/>
  <c r="I120" i="45"/>
  <c r="E120" i="45"/>
  <c r="AG119" i="45"/>
  <c r="AC119" i="45"/>
  <c r="Y119" i="45"/>
  <c r="U119" i="45"/>
  <c r="Q119" i="45"/>
  <c r="M119" i="45"/>
  <c r="I119" i="45"/>
  <c r="E119" i="45"/>
  <c r="AG118" i="45"/>
  <c r="AC118" i="45"/>
  <c r="Y118" i="45"/>
  <c r="U118" i="45"/>
  <c r="Q118" i="45"/>
  <c r="M118" i="45"/>
  <c r="I118" i="45"/>
  <c r="E118" i="45"/>
  <c r="AG117" i="45"/>
  <c r="AC117" i="45"/>
  <c r="Y117" i="45"/>
  <c r="U117" i="45"/>
  <c r="Q117" i="45"/>
  <c r="M117" i="45"/>
  <c r="I117" i="45"/>
  <c r="E117" i="45"/>
  <c r="AG116" i="45"/>
  <c r="AC116" i="45"/>
  <c r="Y116" i="45"/>
  <c r="U116" i="45"/>
  <c r="Q116" i="45"/>
  <c r="M116" i="45"/>
  <c r="I116" i="45"/>
  <c r="E116" i="45"/>
  <c r="AG115" i="45"/>
  <c r="AC115" i="45"/>
  <c r="Y115" i="45"/>
  <c r="U115" i="45"/>
  <c r="Q115" i="45"/>
  <c r="M115" i="45"/>
  <c r="I115" i="45"/>
  <c r="E115" i="45"/>
  <c r="AG114" i="45"/>
  <c r="AC114" i="45"/>
  <c r="Y114" i="45"/>
  <c r="U114" i="45"/>
  <c r="Q114" i="45"/>
  <c r="M114" i="45"/>
  <c r="I114" i="45"/>
  <c r="E114" i="45"/>
  <c r="AG113" i="45"/>
  <c r="AC113" i="45"/>
  <c r="Y113" i="45"/>
  <c r="U113" i="45"/>
  <c r="Q113" i="45"/>
  <c r="M113" i="45"/>
  <c r="I113" i="45"/>
  <c r="E113" i="45"/>
  <c r="AG112" i="45"/>
  <c r="AC112" i="45"/>
  <c r="Y112" i="45"/>
  <c r="U112" i="45"/>
  <c r="Q112" i="45"/>
  <c r="M112" i="45"/>
  <c r="I112" i="45"/>
  <c r="E112" i="45"/>
  <c r="AG111" i="45"/>
  <c r="AC111" i="45"/>
  <c r="Y111" i="45"/>
  <c r="U111" i="45"/>
  <c r="Q111" i="45"/>
  <c r="M111" i="45"/>
  <c r="I111" i="45"/>
  <c r="E111" i="45"/>
  <c r="AG110" i="45"/>
  <c r="AC110" i="45"/>
  <c r="Y110" i="45"/>
  <c r="U110" i="45"/>
  <c r="Q110" i="45"/>
  <c r="M110" i="45"/>
  <c r="I110" i="45"/>
  <c r="E110" i="45"/>
  <c r="AG109" i="45"/>
  <c r="AC109" i="45"/>
  <c r="Y109" i="45"/>
  <c r="U109" i="45"/>
  <c r="Q109" i="45"/>
  <c r="M109" i="45"/>
  <c r="I109" i="45"/>
  <c r="E109" i="45"/>
  <c r="AG108" i="45"/>
  <c r="AC108" i="45"/>
  <c r="Y108" i="45"/>
  <c r="U108" i="45"/>
  <c r="Q108" i="45"/>
  <c r="M108" i="45"/>
  <c r="I108" i="45"/>
  <c r="E108" i="45"/>
  <c r="AG107" i="45"/>
  <c r="AC107" i="45"/>
  <c r="Y107" i="45"/>
  <c r="U107" i="45"/>
  <c r="Q107" i="45"/>
  <c r="M107" i="45"/>
  <c r="I107" i="45"/>
  <c r="E107" i="45"/>
  <c r="AG106" i="45"/>
  <c r="AC106" i="45"/>
  <c r="Y106" i="45"/>
  <c r="U106" i="45"/>
  <c r="Q106" i="45"/>
  <c r="M106" i="45"/>
  <c r="I106" i="45"/>
  <c r="E106" i="45"/>
  <c r="AG105" i="45"/>
  <c r="AC105" i="45"/>
  <c r="Y105" i="45"/>
  <c r="U105" i="45"/>
  <c r="Q105" i="45"/>
  <c r="M105" i="45"/>
  <c r="I105" i="45"/>
  <c r="E105" i="45"/>
  <c r="AG104" i="45"/>
  <c r="AC104" i="45"/>
  <c r="Y104" i="45"/>
  <c r="U104" i="45"/>
  <c r="Q104" i="45"/>
  <c r="M104" i="45"/>
  <c r="I104" i="45"/>
  <c r="E104" i="45"/>
  <c r="AG103" i="45"/>
  <c r="AC103" i="45"/>
  <c r="Y103" i="45"/>
  <c r="U103" i="45"/>
  <c r="Q103" i="45"/>
  <c r="M103" i="45"/>
  <c r="I103" i="45"/>
  <c r="E103" i="45"/>
  <c r="AG102" i="45"/>
  <c r="AC102" i="45"/>
  <c r="Y102" i="45"/>
  <c r="U102" i="45"/>
  <c r="Q102" i="45"/>
  <c r="M102" i="45"/>
  <c r="I102" i="45"/>
  <c r="E102" i="45"/>
  <c r="AG101" i="45"/>
  <c r="AC101" i="45"/>
  <c r="Y101" i="45"/>
  <c r="U101" i="45"/>
  <c r="Q101" i="45"/>
  <c r="M101" i="45"/>
  <c r="I101" i="45"/>
  <c r="E101" i="45"/>
  <c r="AG100" i="45"/>
  <c r="AC100" i="45"/>
  <c r="Y100" i="45"/>
  <c r="U100" i="45"/>
  <c r="Q100" i="45"/>
  <c r="M100" i="45"/>
  <c r="I100" i="45"/>
  <c r="E100" i="45"/>
  <c r="AG99" i="45"/>
  <c r="AC99" i="45"/>
  <c r="Y99" i="45"/>
  <c r="U99" i="45"/>
  <c r="Q99" i="45"/>
  <c r="M99" i="45"/>
  <c r="I99" i="45"/>
  <c r="E99" i="45"/>
  <c r="AG98" i="45"/>
  <c r="AC98" i="45"/>
  <c r="Y98" i="45"/>
  <c r="U98" i="45"/>
  <c r="Q98" i="45"/>
  <c r="M98" i="45"/>
  <c r="I98" i="45"/>
  <c r="E98" i="45"/>
  <c r="AG97" i="45"/>
  <c r="AC97" i="45"/>
  <c r="Y97" i="45"/>
  <c r="U97" i="45"/>
  <c r="Q97" i="45"/>
  <c r="M97" i="45"/>
  <c r="I97" i="45"/>
  <c r="E97" i="45"/>
  <c r="AG96" i="45"/>
  <c r="AC96" i="45"/>
  <c r="Y96" i="45"/>
  <c r="U96" i="45"/>
  <c r="Q96" i="45"/>
  <c r="M96" i="45"/>
  <c r="I96" i="45"/>
  <c r="E96" i="45"/>
  <c r="AG95" i="45"/>
  <c r="AC95" i="45"/>
  <c r="Y95" i="45"/>
  <c r="U95" i="45"/>
  <c r="Q95" i="45"/>
  <c r="M95" i="45"/>
  <c r="I95" i="45"/>
  <c r="E95" i="45"/>
  <c r="AG94" i="45"/>
  <c r="AC94" i="45"/>
  <c r="Y94" i="45"/>
  <c r="U94" i="45"/>
  <c r="Q94" i="45"/>
  <c r="M94" i="45"/>
  <c r="I94" i="45"/>
  <c r="E94" i="45"/>
  <c r="AG93" i="45"/>
  <c r="AC93" i="45"/>
  <c r="Y93" i="45"/>
  <c r="U93" i="45"/>
  <c r="Q93" i="45"/>
  <c r="M93" i="45"/>
  <c r="I93" i="45"/>
  <c r="E93" i="45"/>
  <c r="AG92" i="45"/>
  <c r="AC92" i="45"/>
  <c r="Y92" i="45"/>
  <c r="U92" i="45"/>
  <c r="Q92" i="45"/>
  <c r="M92" i="45"/>
  <c r="I92" i="45"/>
  <c r="E92" i="45"/>
  <c r="AG91" i="45"/>
  <c r="AC91" i="45"/>
  <c r="Y91" i="45"/>
  <c r="U91" i="45"/>
  <c r="Q91" i="45"/>
  <c r="M91" i="45"/>
  <c r="I91" i="45"/>
  <c r="E91" i="45"/>
  <c r="AG90" i="45"/>
  <c r="AC90" i="45"/>
  <c r="Y90" i="45"/>
  <c r="U90" i="45"/>
  <c r="Q90" i="45"/>
  <c r="M90" i="45"/>
  <c r="I90" i="45"/>
  <c r="E90" i="45"/>
  <c r="AG89" i="45"/>
  <c r="AC89" i="45"/>
  <c r="Y89" i="45"/>
  <c r="U89" i="45"/>
  <c r="Q89" i="45"/>
  <c r="M89" i="45"/>
  <c r="I89" i="45"/>
  <c r="E89" i="45"/>
  <c r="AG88" i="45"/>
  <c r="AC88" i="45"/>
  <c r="Y88" i="45"/>
  <c r="U88" i="45"/>
  <c r="Q88" i="45"/>
  <c r="M88" i="45"/>
  <c r="I88" i="45"/>
  <c r="E88" i="45"/>
  <c r="AG87" i="45"/>
  <c r="AC87" i="45"/>
  <c r="Y87" i="45"/>
  <c r="U87" i="45"/>
  <c r="Q87" i="45"/>
  <c r="M87" i="45"/>
  <c r="I87" i="45"/>
  <c r="E87" i="45"/>
  <c r="AG86" i="45"/>
  <c r="AC86" i="45"/>
  <c r="Y86" i="45"/>
  <c r="U86" i="45"/>
  <c r="Q86" i="45"/>
  <c r="M86" i="45"/>
  <c r="I86" i="45"/>
  <c r="E86" i="45"/>
  <c r="AG85" i="45"/>
  <c r="AC85" i="45"/>
  <c r="Y85" i="45"/>
  <c r="U85" i="45"/>
  <c r="Q85" i="45"/>
  <c r="M85" i="45"/>
  <c r="I85" i="45"/>
  <c r="E85" i="45"/>
  <c r="AG84" i="45"/>
  <c r="AC84" i="45"/>
  <c r="Y84" i="45"/>
  <c r="U84" i="45"/>
  <c r="Q84" i="45"/>
  <c r="M84" i="45"/>
  <c r="I84" i="45"/>
  <c r="E84" i="45"/>
  <c r="AG83" i="45"/>
  <c r="AC83" i="45"/>
  <c r="Y83" i="45"/>
  <c r="U83" i="45"/>
  <c r="Q83" i="45"/>
  <c r="M83" i="45"/>
  <c r="I83" i="45"/>
  <c r="E83" i="45"/>
  <c r="AG82" i="45"/>
  <c r="AC82" i="45"/>
  <c r="Y82" i="45"/>
  <c r="U82" i="45"/>
  <c r="Q82" i="45"/>
  <c r="M82" i="45"/>
  <c r="I82" i="45"/>
  <c r="E82" i="45"/>
  <c r="AG81" i="45"/>
  <c r="AC81" i="45"/>
  <c r="Y81" i="45"/>
  <c r="U81" i="45"/>
  <c r="Q81" i="45"/>
  <c r="M81" i="45"/>
  <c r="I81" i="45"/>
  <c r="E81" i="45"/>
  <c r="AG80" i="45"/>
  <c r="AC80" i="45"/>
  <c r="Y80" i="45"/>
  <c r="U80" i="45"/>
  <c r="Q80" i="45"/>
  <c r="M80" i="45"/>
  <c r="I80" i="45"/>
  <c r="E80" i="45"/>
  <c r="AG79" i="45"/>
  <c r="AC79" i="45"/>
  <c r="Y79" i="45"/>
  <c r="U79" i="45"/>
  <c r="Q79" i="45"/>
  <c r="M79" i="45"/>
  <c r="I79" i="45"/>
  <c r="E79" i="45"/>
  <c r="AG78" i="45"/>
  <c r="AC78" i="45"/>
  <c r="Y78" i="45"/>
  <c r="U78" i="45"/>
  <c r="Q78" i="45"/>
  <c r="M78" i="45"/>
  <c r="I78" i="45"/>
  <c r="E78" i="45"/>
  <c r="AG77" i="45"/>
  <c r="AC77" i="45"/>
  <c r="Y77" i="45"/>
  <c r="U77" i="45"/>
  <c r="Q77" i="45"/>
  <c r="M77" i="45"/>
  <c r="I77" i="45"/>
  <c r="E77" i="45"/>
  <c r="AG76" i="45"/>
  <c r="AC76" i="45"/>
  <c r="Y76" i="45"/>
  <c r="U76" i="45"/>
  <c r="Q76" i="45"/>
  <c r="M76" i="45"/>
  <c r="I76" i="45"/>
  <c r="E76" i="45"/>
  <c r="AG75" i="45"/>
  <c r="AC75" i="45"/>
  <c r="Y75" i="45"/>
  <c r="U75" i="45"/>
  <c r="Q75" i="45"/>
  <c r="M75" i="45"/>
  <c r="I75" i="45"/>
  <c r="E75" i="45"/>
  <c r="AG74" i="45"/>
  <c r="AC74" i="45"/>
  <c r="Y74" i="45"/>
  <c r="U74" i="45"/>
  <c r="Q74" i="45"/>
  <c r="M74" i="45"/>
  <c r="I74" i="45"/>
  <c r="E74" i="45"/>
  <c r="AG73" i="45"/>
  <c r="AC73" i="45"/>
  <c r="Y73" i="45"/>
  <c r="U73" i="45"/>
  <c r="Q73" i="45"/>
  <c r="M73" i="45"/>
  <c r="I73" i="45"/>
  <c r="E73" i="45"/>
  <c r="AG72" i="45"/>
  <c r="AC72" i="45"/>
  <c r="Y72" i="45"/>
  <c r="U72" i="45"/>
  <c r="Q72" i="45"/>
  <c r="M72" i="45"/>
  <c r="I72" i="45"/>
  <c r="E72" i="45"/>
  <c r="AG71" i="45"/>
  <c r="AC71" i="45"/>
  <c r="Y71" i="45"/>
  <c r="U71" i="45"/>
  <c r="Q71" i="45"/>
  <c r="M71" i="45"/>
  <c r="I71" i="45"/>
  <c r="E71" i="45"/>
  <c r="AG70" i="45"/>
  <c r="AC70" i="45"/>
  <c r="Y70" i="45"/>
  <c r="U70" i="45"/>
  <c r="Q70" i="45"/>
  <c r="M70" i="45"/>
  <c r="I70" i="45"/>
  <c r="E70" i="45"/>
  <c r="AG69" i="45"/>
  <c r="AC69" i="45"/>
  <c r="Y69" i="45"/>
  <c r="U69" i="45"/>
  <c r="Q69" i="45"/>
  <c r="M69" i="45"/>
  <c r="I69" i="45"/>
  <c r="E69" i="45"/>
  <c r="AG68" i="45"/>
  <c r="AC68" i="45"/>
  <c r="Y68" i="45"/>
  <c r="U68" i="45"/>
  <c r="Q68" i="45"/>
  <c r="M68" i="45"/>
  <c r="I68" i="45"/>
  <c r="E68" i="45"/>
  <c r="AG67" i="45"/>
  <c r="AC67" i="45"/>
  <c r="Y67" i="45"/>
  <c r="U67" i="45"/>
  <c r="Q67" i="45"/>
  <c r="M67" i="45"/>
  <c r="I67" i="45"/>
  <c r="E67" i="45"/>
  <c r="AG66" i="45"/>
  <c r="AC66" i="45"/>
  <c r="Y66" i="45"/>
  <c r="U66" i="45"/>
  <c r="Q66" i="45"/>
  <c r="M66" i="45"/>
  <c r="I66" i="45"/>
  <c r="E66" i="45"/>
  <c r="AG65" i="45"/>
  <c r="AC65" i="45"/>
  <c r="Y65" i="45"/>
  <c r="U65" i="45"/>
  <c r="Q65" i="45"/>
  <c r="M65" i="45"/>
  <c r="I65" i="45"/>
  <c r="E65" i="45"/>
  <c r="AG64" i="45"/>
  <c r="AC64" i="45"/>
  <c r="Y64" i="45"/>
  <c r="U64" i="45"/>
  <c r="Q64" i="45"/>
  <c r="M64" i="45"/>
  <c r="I64" i="45"/>
  <c r="E64" i="45"/>
  <c r="AG63" i="45"/>
  <c r="AC63" i="45"/>
  <c r="Y63" i="45"/>
  <c r="U63" i="45"/>
  <c r="Q63" i="45"/>
  <c r="M63" i="45"/>
  <c r="I63" i="45"/>
  <c r="E63" i="45"/>
  <c r="AG62" i="45"/>
  <c r="AC62" i="45"/>
  <c r="Y62" i="45"/>
  <c r="U62" i="45"/>
  <c r="Q62" i="45"/>
  <c r="M62" i="45"/>
  <c r="I62" i="45"/>
  <c r="E62" i="45"/>
  <c r="AG61" i="45"/>
  <c r="AC61" i="45"/>
  <c r="Y61" i="45"/>
  <c r="U61" i="45"/>
  <c r="Q61" i="45"/>
  <c r="M61" i="45"/>
  <c r="I61" i="45"/>
  <c r="E61" i="45"/>
  <c r="AG60" i="45"/>
  <c r="AC60" i="45"/>
  <c r="Y60" i="45"/>
  <c r="U60" i="45"/>
  <c r="Q60" i="45"/>
  <c r="M60" i="45"/>
  <c r="I60" i="45"/>
  <c r="E60" i="45"/>
  <c r="AG59" i="45"/>
  <c r="AC59" i="45"/>
  <c r="Y59" i="45"/>
  <c r="U59" i="45"/>
  <c r="Q59" i="45"/>
  <c r="M59" i="45"/>
  <c r="I59" i="45"/>
  <c r="E59" i="45"/>
  <c r="AG58" i="45"/>
  <c r="AC58" i="45"/>
  <c r="Y58" i="45"/>
  <c r="U58" i="45"/>
  <c r="Q58" i="45"/>
  <c r="M58" i="45"/>
  <c r="I58" i="45"/>
  <c r="E58" i="45"/>
  <c r="AG57" i="45"/>
  <c r="AC57" i="45"/>
  <c r="Y57" i="45"/>
  <c r="U57" i="45"/>
  <c r="Q57" i="45"/>
  <c r="M57" i="45"/>
  <c r="I57" i="45"/>
  <c r="E57" i="45"/>
  <c r="AG56" i="45"/>
  <c r="AC56" i="45"/>
  <c r="Y56" i="45"/>
  <c r="U56" i="45"/>
  <c r="Q56" i="45"/>
  <c r="M56" i="45"/>
  <c r="I56" i="45"/>
  <c r="E56" i="45"/>
  <c r="AG55" i="45"/>
  <c r="AC55" i="45"/>
  <c r="Y55" i="45"/>
  <c r="U55" i="45"/>
  <c r="Q55" i="45"/>
  <c r="M55" i="45"/>
  <c r="I55" i="45"/>
  <c r="E55" i="45"/>
  <c r="AG54" i="45"/>
  <c r="AC54" i="45"/>
  <c r="Y54" i="45"/>
  <c r="U54" i="45"/>
  <c r="Q54" i="45"/>
  <c r="M54" i="45"/>
  <c r="I54" i="45"/>
  <c r="E54" i="45"/>
  <c r="AG53" i="45"/>
  <c r="AC53" i="45"/>
  <c r="Y53" i="45"/>
  <c r="U53" i="45"/>
  <c r="Q53" i="45"/>
  <c r="M53" i="45"/>
  <c r="I53" i="45"/>
  <c r="E53" i="45"/>
  <c r="AG52" i="45"/>
  <c r="AC52" i="45"/>
  <c r="Y52" i="45"/>
  <c r="U52" i="45"/>
  <c r="Q52" i="45"/>
  <c r="M52" i="45"/>
  <c r="I52" i="45"/>
  <c r="E52" i="45"/>
  <c r="AG51" i="45"/>
  <c r="AC51" i="45"/>
  <c r="Y51" i="45"/>
  <c r="U51" i="45"/>
  <c r="Q51" i="45"/>
  <c r="M51" i="45"/>
  <c r="I51" i="45"/>
  <c r="E51" i="45"/>
  <c r="AG50" i="45"/>
  <c r="AC50" i="45"/>
  <c r="Y50" i="45"/>
  <c r="U50" i="45"/>
  <c r="Q50" i="45"/>
  <c r="M50" i="45"/>
  <c r="I50" i="45"/>
  <c r="E50" i="45"/>
  <c r="AG49" i="45"/>
  <c r="AC49" i="45"/>
  <c r="Y49" i="45"/>
  <c r="U49" i="45"/>
  <c r="Q49" i="45"/>
  <c r="M49" i="45"/>
  <c r="I49" i="45"/>
  <c r="E49" i="45"/>
  <c r="AG48" i="45"/>
  <c r="AC48" i="45"/>
  <c r="Y48" i="45"/>
  <c r="U48" i="45"/>
  <c r="Q48" i="45"/>
  <c r="M48" i="45"/>
  <c r="I48" i="45"/>
  <c r="E48" i="45"/>
  <c r="AG47" i="45"/>
  <c r="AC47" i="45"/>
  <c r="Y47" i="45"/>
  <c r="U47" i="45"/>
  <c r="Q47" i="45"/>
  <c r="M47" i="45"/>
  <c r="I47" i="45"/>
  <c r="E47" i="45"/>
  <c r="AG46" i="45"/>
  <c r="AC46" i="45"/>
  <c r="Y46" i="45"/>
  <c r="U46" i="45"/>
  <c r="Q46" i="45"/>
  <c r="M46" i="45"/>
  <c r="I46" i="45"/>
  <c r="E46" i="45"/>
  <c r="AG45" i="45"/>
  <c r="AC45" i="45"/>
  <c r="Y45" i="45"/>
  <c r="U45" i="45"/>
  <c r="Q45" i="45"/>
  <c r="M45" i="45"/>
  <c r="I45" i="45"/>
  <c r="E45" i="45"/>
  <c r="AG44" i="45"/>
  <c r="AC44" i="45"/>
  <c r="Y44" i="45"/>
  <c r="U44" i="45"/>
  <c r="Q44" i="45"/>
  <c r="M44" i="45"/>
  <c r="I44" i="45"/>
  <c r="E44" i="45"/>
  <c r="AG43" i="45"/>
  <c r="AC43" i="45"/>
  <c r="Y43" i="45"/>
  <c r="U43" i="45"/>
  <c r="M43" i="45"/>
  <c r="I43" i="45"/>
  <c r="E43" i="45"/>
  <c r="AG42" i="45"/>
  <c r="AC42" i="45"/>
  <c r="Y42" i="45"/>
  <c r="U42" i="45"/>
  <c r="M42" i="45"/>
  <c r="I42" i="45"/>
  <c r="E42" i="45"/>
  <c r="AG41" i="45"/>
  <c r="AC41" i="45"/>
  <c r="Y41" i="45"/>
  <c r="U41" i="45"/>
  <c r="P41" i="45"/>
  <c r="M41" i="45"/>
  <c r="I41" i="45"/>
  <c r="E41" i="45"/>
  <c r="AG40" i="45"/>
  <c r="U40" i="45"/>
  <c r="P40" i="45"/>
  <c r="P42" i="45" s="1"/>
  <c r="P43" i="45" s="1"/>
  <c r="M40" i="45"/>
  <c r="I40" i="45"/>
  <c r="D40" i="45"/>
  <c r="AG39" i="45"/>
  <c r="AB39" i="45"/>
  <c r="U39" i="45"/>
  <c r="M39" i="45"/>
  <c r="I39" i="45"/>
  <c r="AG38" i="45"/>
  <c r="AG37" i="45"/>
  <c r="P36" i="45"/>
  <c r="AG33" i="45"/>
  <c r="AF33" i="45"/>
  <c r="AE33" i="45"/>
  <c r="AC33" i="45"/>
  <c r="AB33" i="45"/>
  <c r="AA33" i="45"/>
  <c r="Y33" i="45"/>
  <c r="X33" i="45"/>
  <c r="W33" i="45"/>
  <c r="U33" i="45"/>
  <c r="T33" i="45"/>
  <c r="S33" i="45"/>
  <c r="Q33" i="45"/>
  <c r="P33" i="45"/>
  <c r="O33" i="45"/>
  <c r="M33" i="45"/>
  <c r="L33" i="45"/>
  <c r="K33" i="45"/>
  <c r="I33" i="45"/>
  <c r="H33" i="45"/>
  <c r="G33" i="45"/>
  <c r="D33" i="45"/>
  <c r="AG31" i="45"/>
  <c r="AC31" i="45"/>
  <c r="Y31" i="45"/>
  <c r="Y36" i="45" s="1"/>
  <c r="U31" i="45"/>
  <c r="Q31" i="45"/>
  <c r="M31" i="45"/>
  <c r="M36" i="45" s="1"/>
  <c r="I31" i="45"/>
  <c r="I36" i="45" s="1"/>
  <c r="E31" i="45"/>
  <c r="B31" i="45"/>
  <c r="D27" i="45" a="1"/>
  <c r="F27" i="45" s="1"/>
  <c r="C27" i="45"/>
  <c r="D26" i="45" a="1"/>
  <c r="C26" i="45"/>
  <c r="D25" i="45" a="1"/>
  <c r="F25" i="45" s="1"/>
  <c r="C25" i="45"/>
  <c r="D24" i="45" a="1"/>
  <c r="F24" i="45" s="1"/>
  <c r="C24" i="45"/>
  <c r="D23" i="45" a="1"/>
  <c r="F23" i="45" s="1"/>
  <c r="C23" i="45"/>
  <c r="D22" i="45" a="1"/>
  <c r="D22" i="45" s="1"/>
  <c r="A22" i="45" s="1"/>
  <c r="C22" i="45"/>
  <c r="D21" i="45" a="1"/>
  <c r="D21" i="45" s="1"/>
  <c r="A21" i="45" s="1"/>
  <c r="J21" i="45" s="1"/>
  <c r="C21" i="45"/>
  <c r="D20" i="45" a="1"/>
  <c r="D20" i="45" s="1"/>
  <c r="A20" i="45" s="1"/>
  <c r="C20" i="45"/>
  <c r="D19" i="45" a="1"/>
  <c r="D19" i="45" s="1"/>
  <c r="A19" i="45" s="1"/>
  <c r="C19" i="45"/>
  <c r="D18" i="45" a="1"/>
  <c r="D18" i="45" s="1"/>
  <c r="A18" i="45" s="1"/>
  <c r="C18" i="45"/>
  <c r="D17" i="45" a="1"/>
  <c r="D17" i="45" s="1"/>
  <c r="A17" i="45" s="1"/>
  <c r="J17" i="45" s="1"/>
  <c r="C17" i="45"/>
  <c r="D16" i="45" a="1"/>
  <c r="D16" i="45" s="1"/>
  <c r="A16" i="45" s="1"/>
  <c r="C16" i="45"/>
  <c r="C15" i="45"/>
  <c r="C14" i="45"/>
  <c r="C13" i="45"/>
  <c r="C12" i="45"/>
  <c r="C11" i="45"/>
  <c r="C10" i="45"/>
  <c r="C9" i="45"/>
  <c r="C8" i="45"/>
  <c r="R13" i="45" l="1"/>
  <c r="R14" i="45"/>
  <c r="R8" i="45"/>
  <c r="R11" i="45"/>
  <c r="R9" i="45"/>
  <c r="R12" i="45"/>
  <c r="E40" i="45"/>
  <c r="Q42" i="45"/>
  <c r="Q43" i="45"/>
  <c r="AC40" i="45"/>
  <c r="AK38" i="45"/>
  <c r="AK37" i="45"/>
  <c r="AK36" i="45"/>
  <c r="AK35" i="45"/>
  <c r="AG35" i="45"/>
  <c r="AG36" i="45"/>
  <c r="AG34" i="45"/>
  <c r="AK34" i="45"/>
  <c r="I16" i="45"/>
  <c r="D14" i="45" a="1"/>
  <c r="D14" i="45" s="1"/>
  <c r="A14" i="45" s="1"/>
  <c r="H14" i="45" s="1"/>
  <c r="AC34" i="45"/>
  <c r="M37" i="45"/>
  <c r="D9" i="45" a="1"/>
  <c r="E9" i="45" s="1"/>
  <c r="I38" i="45"/>
  <c r="I34" i="45"/>
  <c r="AC36" i="45"/>
  <c r="Y37" i="45"/>
  <c r="Y34" i="45"/>
  <c r="I37" i="45"/>
  <c r="AC39" i="45"/>
  <c r="I35" i="45"/>
  <c r="Y38" i="45"/>
  <c r="D10" i="45" a="1"/>
  <c r="E10" i="45" s="1"/>
  <c r="D13" i="45" a="1"/>
  <c r="D13" i="45" s="1"/>
  <c r="A13" i="45" s="1"/>
  <c r="L13" i="45" s="1"/>
  <c r="M34" i="45"/>
  <c r="Y35" i="45"/>
  <c r="AC37" i="45"/>
  <c r="E20" i="45"/>
  <c r="F21" i="45"/>
  <c r="F17" i="45"/>
  <c r="C6" i="45"/>
  <c r="F16" i="45"/>
  <c r="M16" i="45" s="1"/>
  <c r="E17" i="45"/>
  <c r="E16" i="45"/>
  <c r="F20" i="45"/>
  <c r="E21" i="45"/>
  <c r="M19" i="45"/>
  <c r="H19" i="45"/>
  <c r="L19" i="45"/>
  <c r="I19" i="45"/>
  <c r="G19" i="45"/>
  <c r="J19" i="45"/>
  <c r="I22" i="45"/>
  <c r="M22" i="45"/>
  <c r="H22" i="45"/>
  <c r="G22" i="45"/>
  <c r="J22" i="45"/>
  <c r="L22" i="45"/>
  <c r="M18" i="45"/>
  <c r="H18" i="45"/>
  <c r="G18" i="45"/>
  <c r="I18" i="45"/>
  <c r="L18" i="45"/>
  <c r="J18" i="45"/>
  <c r="M20" i="45"/>
  <c r="H20" i="45"/>
  <c r="L20" i="45"/>
  <c r="Q38" i="45"/>
  <c r="Q35" i="45"/>
  <c r="Q37" i="45"/>
  <c r="Q34" i="45"/>
  <c r="Q39" i="45"/>
  <c r="M17" i="45"/>
  <c r="H17" i="45"/>
  <c r="L17" i="45"/>
  <c r="E18" i="45"/>
  <c r="M21" i="45"/>
  <c r="H21" i="45"/>
  <c r="L21" i="45"/>
  <c r="E22" i="45"/>
  <c r="E26" i="45"/>
  <c r="D26" i="45"/>
  <c r="A26" i="45" s="1"/>
  <c r="U37" i="45"/>
  <c r="U34" i="45"/>
  <c r="U36" i="45"/>
  <c r="U35" i="45"/>
  <c r="E36" i="45"/>
  <c r="U38" i="45"/>
  <c r="E39" i="45"/>
  <c r="D8" i="45" a="1"/>
  <c r="D11" i="45" a="1"/>
  <c r="D12" i="45" a="1"/>
  <c r="G17" i="45"/>
  <c r="F18" i="45"/>
  <c r="E19" i="45"/>
  <c r="I20" i="45"/>
  <c r="G21" i="45"/>
  <c r="F22" i="45"/>
  <c r="F26" i="45"/>
  <c r="Q40" i="45"/>
  <c r="H16" i="45"/>
  <c r="L16" i="45"/>
  <c r="D15" i="45" a="1"/>
  <c r="G16" i="45"/>
  <c r="G20" i="45"/>
  <c r="E24" i="45"/>
  <c r="D24" i="45"/>
  <c r="A24" i="45" s="1"/>
  <c r="E37" i="45"/>
  <c r="E34" i="45"/>
  <c r="B30" i="45"/>
  <c r="A130" i="45" s="1"/>
  <c r="Q41" i="45"/>
  <c r="I17" i="45"/>
  <c r="F19" i="45"/>
  <c r="J20" i="45"/>
  <c r="I21" i="45"/>
  <c r="E23" i="45"/>
  <c r="D23" i="45"/>
  <c r="A23" i="45" s="1"/>
  <c r="E25" i="45"/>
  <c r="D25" i="45"/>
  <c r="A25" i="45" s="1"/>
  <c r="E27" i="45"/>
  <c r="D27" i="45"/>
  <c r="A27" i="45" s="1"/>
  <c r="E35" i="45"/>
  <c r="Q36" i="45"/>
  <c r="E38" i="45"/>
  <c r="M35" i="45"/>
  <c r="AC35" i="45"/>
  <c r="M38" i="45"/>
  <c r="AC38" i="45"/>
  <c r="Y39" i="45"/>
  <c r="Y40" i="45"/>
  <c r="R6" i="45" l="1"/>
  <c r="E14" i="45"/>
  <c r="I14" i="45"/>
  <c r="F14" i="45"/>
  <c r="M14" i="45" s="1"/>
  <c r="L14" i="45"/>
  <c r="G14" i="45"/>
  <c r="J16" i="45"/>
  <c r="F9" i="45"/>
  <c r="G13" i="45"/>
  <c r="D10" i="45"/>
  <c r="A10" i="45" s="1"/>
  <c r="L10" i="45" s="1"/>
  <c r="D9" i="45"/>
  <c r="A9" i="45" s="1"/>
  <c r="L9" i="45" s="1"/>
  <c r="F13" i="45"/>
  <c r="M13" i="45" s="1"/>
  <c r="H13" i="45"/>
  <c r="E13" i="45"/>
  <c r="I13" i="45"/>
  <c r="F10" i="45"/>
  <c r="A44" i="45"/>
  <c r="A108" i="45"/>
  <c r="A80" i="45"/>
  <c r="A76" i="45"/>
  <c r="A47" i="45"/>
  <c r="A61" i="45"/>
  <c r="A93" i="45"/>
  <c r="A125" i="45"/>
  <c r="A54" i="45"/>
  <c r="A70" i="45"/>
  <c r="A102" i="45"/>
  <c r="A118" i="45"/>
  <c r="A134" i="45"/>
  <c r="A132" i="45"/>
  <c r="A100" i="45"/>
  <c r="A68" i="45"/>
  <c r="A64" i="45"/>
  <c r="A119" i="45"/>
  <c r="A39" i="45"/>
  <c r="A123" i="45"/>
  <c r="A59" i="45"/>
  <c r="A49" i="45"/>
  <c r="A81" i="45"/>
  <c r="A113" i="45"/>
  <c r="A42" i="45"/>
  <c r="A74" i="45"/>
  <c r="A106" i="45"/>
  <c r="A124" i="45"/>
  <c r="A92" i="45"/>
  <c r="A60" i="45"/>
  <c r="A87" i="45"/>
  <c r="A51" i="45"/>
  <c r="A127" i="45"/>
  <c r="A79" i="45"/>
  <c r="A37" i="45"/>
  <c r="A53" i="45"/>
  <c r="A69" i="45"/>
  <c r="A85" i="45"/>
  <c r="A101" i="45"/>
  <c r="A117" i="45"/>
  <c r="A133" i="45"/>
  <c r="A46" i="45"/>
  <c r="A62" i="45"/>
  <c r="A78" i="45"/>
  <c r="A94" i="45"/>
  <c r="A110" i="45"/>
  <c r="A126" i="45"/>
  <c r="I27" i="45"/>
  <c r="M27" i="45"/>
  <c r="H27" i="45"/>
  <c r="L27" i="45"/>
  <c r="J27" i="45"/>
  <c r="G27" i="45"/>
  <c r="I23" i="45"/>
  <c r="M23" i="45"/>
  <c r="H23" i="45"/>
  <c r="L23" i="45"/>
  <c r="J23" i="45"/>
  <c r="G23" i="45"/>
  <c r="A131" i="45"/>
  <c r="A99" i="45"/>
  <c r="A67" i="45"/>
  <c r="D8" i="45"/>
  <c r="A8" i="45" s="1"/>
  <c r="E8" i="45"/>
  <c r="F8" i="45"/>
  <c r="A88" i="45"/>
  <c r="A103" i="45"/>
  <c r="A63" i="45"/>
  <c r="A45" i="45"/>
  <c r="A77" i="45"/>
  <c r="A109" i="45"/>
  <c r="A38" i="45"/>
  <c r="A86" i="45"/>
  <c r="A91" i="45"/>
  <c r="A112" i="45"/>
  <c r="A72" i="45"/>
  <c r="A95" i="45"/>
  <c r="A65" i="45"/>
  <c r="A97" i="45"/>
  <c r="A129" i="45"/>
  <c r="A58" i="45"/>
  <c r="A90" i="45"/>
  <c r="A122" i="45"/>
  <c r="I25" i="45"/>
  <c r="M25" i="45"/>
  <c r="H25" i="45"/>
  <c r="L25" i="45"/>
  <c r="G25" i="45"/>
  <c r="J25" i="45"/>
  <c r="A128" i="45"/>
  <c r="A56" i="45"/>
  <c r="A36" i="45"/>
  <c r="A115" i="45"/>
  <c r="A83" i="45"/>
  <c r="D12" i="45"/>
  <c r="A12" i="45" s="1"/>
  <c r="E12" i="45"/>
  <c r="F12" i="45"/>
  <c r="A104" i="45"/>
  <c r="A48" i="45"/>
  <c r="A116" i="45"/>
  <c r="A84" i="45"/>
  <c r="A52" i="45"/>
  <c r="A120" i="45"/>
  <c r="I24" i="45"/>
  <c r="M24" i="45"/>
  <c r="H24" i="45"/>
  <c r="G24" i="45"/>
  <c r="L24" i="45"/>
  <c r="J24" i="45"/>
  <c r="D15" i="45"/>
  <c r="A15" i="45" s="1"/>
  <c r="F15" i="45"/>
  <c r="E15" i="45"/>
  <c r="A55" i="45"/>
  <c r="A107" i="45"/>
  <c r="A75" i="45"/>
  <c r="A43" i="45"/>
  <c r="D11" i="45"/>
  <c r="A11" i="45" s="1"/>
  <c r="E11" i="45"/>
  <c r="F11" i="45"/>
  <c r="A96" i="45"/>
  <c r="A41" i="45"/>
  <c r="I26" i="45"/>
  <c r="M26" i="45"/>
  <c r="H26" i="45"/>
  <c r="G26" i="45"/>
  <c r="L26" i="45"/>
  <c r="J26" i="45"/>
  <c r="A111" i="45"/>
  <c r="A71" i="45"/>
  <c r="A40" i="45"/>
  <c r="A57" i="45"/>
  <c r="A73" i="45"/>
  <c r="A89" i="45"/>
  <c r="A105" i="45"/>
  <c r="A121" i="45"/>
  <c r="A35" i="45"/>
  <c r="A50" i="45"/>
  <c r="A66" i="45"/>
  <c r="A82" i="45"/>
  <c r="A98" i="45"/>
  <c r="A114" i="45"/>
  <c r="E84" i="83" l="1"/>
  <c r="E82" i="83" s="1"/>
  <c r="E76" i="83"/>
  <c r="J14" i="45"/>
  <c r="J13" i="45"/>
  <c r="G10" i="45"/>
  <c r="I10" i="45"/>
  <c r="H10" i="45"/>
  <c r="G9" i="45"/>
  <c r="M10" i="45"/>
  <c r="M9" i="45"/>
  <c r="J9" i="45"/>
  <c r="I9" i="45"/>
  <c r="J10" i="45"/>
  <c r="H9" i="45"/>
  <c r="M12" i="45"/>
  <c r="H12" i="45"/>
  <c r="J12" i="45"/>
  <c r="L12" i="45"/>
  <c r="I12" i="45"/>
  <c r="G12" i="45"/>
  <c r="M8" i="45"/>
  <c r="H8" i="45"/>
  <c r="I8" i="45"/>
  <c r="L8" i="45"/>
  <c r="G8" i="45"/>
  <c r="J8" i="45"/>
  <c r="M15" i="45"/>
  <c r="H15" i="45"/>
  <c r="L15" i="45"/>
  <c r="I15" i="45"/>
  <c r="G15" i="45"/>
  <c r="J15" i="45"/>
  <c r="M11" i="45"/>
  <c r="H11" i="45"/>
  <c r="I11" i="45"/>
  <c r="L11" i="45"/>
  <c r="G11" i="45"/>
  <c r="J11" i="45"/>
  <c r="C49" i="85" l="1"/>
  <c r="C106" i="85" s="1"/>
  <c r="C63" i="85"/>
  <c r="E74" i="83" l="1"/>
  <c r="C85" i="85"/>
  <c r="C87" i="85"/>
  <c r="C86" i="85"/>
  <c r="C53" i="85"/>
  <c r="C70" i="85" s="1"/>
  <c r="C54" i="85"/>
  <c r="C73" i="85" l="1"/>
  <c r="C74" i="85"/>
  <c r="C75" i="85"/>
  <c r="C72" i="85"/>
  <c r="C71" i="85"/>
  <c r="C8" i="87"/>
  <c r="F8" i="87" l="1"/>
  <c r="C52" i="87"/>
  <c r="E68" i="83"/>
  <c r="C94" i="85"/>
  <c r="C93" i="85"/>
  <c r="G74" i="83" l="1"/>
  <c r="F52" i="87"/>
  <c r="E70" i="83"/>
  <c r="C10" i="87" s="1"/>
  <c r="F10" i="87" s="1"/>
  <c r="C9" i="87"/>
  <c r="F9" i="87" s="1"/>
  <c r="C20" i="87" l="1"/>
  <c r="C54" i="87" s="1"/>
  <c r="F20" i="87"/>
  <c r="F54" i="87" s="1"/>
  <c r="C19" i="87"/>
  <c r="C53" i="87" s="1"/>
  <c r="E72" i="83"/>
  <c r="F19" i="87" l="1"/>
  <c r="F53" i="87" s="1"/>
  <c r="G68" i="83"/>
  <c r="G70" i="83"/>
  <c r="G72" i="83" l="1"/>
  <c r="C11" i="87"/>
  <c r="F11" i="87" l="1"/>
  <c r="G76" i="83" s="1"/>
  <c r="C21" i="87"/>
  <c r="C55" i="87" s="1"/>
  <c r="F21" i="87" l="1"/>
  <c r="F55" i="87" s="1"/>
  <c r="C15" i="85"/>
  <c r="C48" i="85" s="1"/>
  <c r="C50" i="85" s="1"/>
  <c r="C113" i="85" s="1"/>
  <c r="C116" i="85" s="1"/>
  <c r="E78" i="83" l="1"/>
  <c r="C52" i="85"/>
  <c r="C80" i="85"/>
  <c r="C77" i="85"/>
  <c r="C79" i="85"/>
  <c r="C83" i="85"/>
  <c r="C96" i="85" s="1"/>
  <c r="C84" i="85"/>
  <c r="C97" i="85" s="1"/>
  <c r="C78" i="85"/>
  <c r="C82" i="85"/>
  <c r="C95" i="85" s="1"/>
  <c r="C81" i="85"/>
  <c r="C115" i="85" l="1"/>
  <c r="C118" i="85" s="1"/>
  <c r="E80" i="83"/>
  <c r="C88" i="85"/>
  <c r="C89" i="85"/>
  <c r="C12" i="87" l="1"/>
  <c r="F12" i="87" l="1"/>
  <c r="C45" i="87"/>
  <c r="C22" i="87"/>
  <c r="G78" i="83" l="1"/>
  <c r="F45" i="87"/>
  <c r="F22" i="87"/>
  <c r="C13" i="87" l="1"/>
  <c r="C46" i="87" l="1"/>
  <c r="F13" i="87"/>
  <c r="F46" i="87" s="1"/>
  <c r="C23" i="87"/>
  <c r="G80" i="83" l="1"/>
  <c r="F23" i="87"/>
  <c r="C15" i="87"/>
  <c r="F15" i="87" s="1"/>
  <c r="C119" i="85"/>
  <c r="E86" i="83" s="1"/>
  <c r="E88" i="83" s="1"/>
  <c r="C14" i="87"/>
  <c r="C47" i="87" l="1"/>
  <c r="F14" i="87"/>
  <c r="F47" i="87" s="1"/>
  <c r="C25" i="87"/>
  <c r="C16" i="87"/>
  <c r="E14" i="87" s="1"/>
  <c r="C24" i="87"/>
  <c r="C28" i="87" l="1"/>
  <c r="F28" i="87" s="1"/>
  <c r="G86" i="83" s="1"/>
  <c r="E15" i="87"/>
  <c r="F24" i="87"/>
  <c r="F16" i="87"/>
  <c r="H14" i="87" s="1"/>
  <c r="G82" i="83"/>
  <c r="C26" i="87"/>
  <c r="E90" i="83"/>
  <c r="E92" i="83"/>
  <c r="E94" i="83" s="1"/>
  <c r="G84" i="83"/>
  <c r="F25" i="87"/>
  <c r="E10" i="87"/>
  <c r="E11" i="87"/>
  <c r="E12" i="87"/>
  <c r="E13" i="87"/>
  <c r="E9" i="87"/>
  <c r="E8" i="87"/>
  <c r="G88" i="83" l="1"/>
  <c r="G92" i="83" s="1"/>
  <c r="C48" i="87"/>
  <c r="F48" i="87" s="1"/>
  <c r="F56" i="87" s="1"/>
  <c r="C56" i="87"/>
  <c r="C57" i="87" s="1"/>
  <c r="E45" i="87"/>
  <c r="E46" i="87"/>
  <c r="E47" i="87"/>
  <c r="E24" i="87"/>
  <c r="E25" i="87"/>
  <c r="H15" i="87"/>
  <c r="E98" i="83"/>
  <c r="G94" i="83"/>
  <c r="G98" i="83" s="1"/>
  <c r="H10" i="87"/>
  <c r="H11" i="87"/>
  <c r="H8" i="87"/>
  <c r="H9" i="87"/>
  <c r="H12" i="87"/>
  <c r="H13" i="87"/>
  <c r="E22" i="87"/>
  <c r="E19" i="87"/>
  <c r="E20" i="87"/>
  <c r="E21" i="87"/>
  <c r="E23" i="87"/>
  <c r="F26" i="87"/>
  <c r="E48" i="87" l="1"/>
  <c r="F57" i="87"/>
  <c r="H53" i="87" s="1"/>
  <c r="C49" i="87"/>
  <c r="E54" i="87"/>
  <c r="E52" i="87"/>
  <c r="E55" i="87"/>
  <c r="E56" i="87"/>
  <c r="E53" i="87"/>
  <c r="H48" i="87"/>
  <c r="F49" i="87"/>
  <c r="H45" i="87"/>
  <c r="H46" i="87"/>
  <c r="H47" i="87"/>
  <c r="G90" i="83"/>
  <c r="H19" i="87"/>
  <c r="H23" i="87"/>
  <c r="H20" i="87"/>
  <c r="H22" i="87"/>
  <c r="H21" i="87"/>
  <c r="H24" i="87"/>
  <c r="H25" i="87"/>
  <c r="H55" i="87" l="1"/>
  <c r="H54" i="87"/>
  <c r="H52" i="87"/>
  <c r="H56" i="87"/>
</calcChain>
</file>

<file path=xl/comments1.xml><?xml version="1.0" encoding="utf-8"?>
<comments xmlns="http://schemas.openxmlformats.org/spreadsheetml/2006/main">
  <authors>
    <author>Simon Gandy</author>
  </authors>
  <commentList>
    <comment ref="F68" authorId="0">
      <text>
        <r>
          <rPr>
            <sz val="9"/>
            <color indexed="81"/>
            <rFont val="Tahoma"/>
            <family val="2"/>
          </rPr>
          <t>Choose unit for reporting here</t>
        </r>
      </text>
    </comment>
    <comment ref="H68" authorId="0">
      <text>
        <r>
          <rPr>
            <sz val="9"/>
            <color indexed="81"/>
            <rFont val="Tahoma"/>
            <family val="2"/>
          </rPr>
          <t>Choose unit for reporting here</t>
        </r>
      </text>
    </comment>
  </commentList>
</comments>
</file>

<file path=xl/comments2.xml><?xml version="1.0" encoding="utf-8"?>
<comments xmlns="http://schemas.openxmlformats.org/spreadsheetml/2006/main">
  <authors>
    <author>Simon Gandy</author>
  </authors>
  <commentList>
    <comment ref="D31" authorId="0">
      <text>
        <r>
          <rPr>
            <b/>
            <sz val="9"/>
            <color indexed="81"/>
            <rFont val="Tahoma"/>
            <family val="2"/>
          </rPr>
          <t>Ricardo-AEA:</t>
        </r>
        <r>
          <rPr>
            <sz val="9"/>
            <color indexed="81"/>
            <rFont val="Tahoma"/>
            <family val="2"/>
          </rPr>
          <t xml:space="preserve">
For each Dimension, this cell designates the chosen default unit for the workbook</t>
        </r>
      </text>
    </comment>
  </commentList>
</comments>
</file>

<file path=xl/sharedStrings.xml><?xml version="1.0" encoding="utf-8"?>
<sst xmlns="http://schemas.openxmlformats.org/spreadsheetml/2006/main" count="1062" uniqueCount="767">
  <si>
    <t>Date</t>
  </si>
  <si>
    <t>F</t>
  </si>
  <si>
    <t>OK</t>
  </si>
  <si>
    <t>Version Number:</t>
  </si>
  <si>
    <t>Last Update:</t>
  </si>
  <si>
    <t>Important notice for all users:</t>
  </si>
  <si>
    <t>Show All</t>
  </si>
  <si>
    <t>Hide All</t>
  </si>
  <si>
    <t>GoTo Sheet</t>
  </si>
  <si>
    <t>Admin</t>
  </si>
  <si>
    <t>Colour Scheme Key</t>
  </si>
  <si>
    <t>Background</t>
  </si>
  <si>
    <t>Reports that no errors have been found</t>
  </si>
  <si>
    <t>Reports that errors have been found</t>
  </si>
  <si>
    <t>Workbook Tabs</t>
  </si>
  <si>
    <t>Tab Index Sheet &gt;</t>
  </si>
  <si>
    <t>Calculation</t>
  </si>
  <si>
    <t>Results</t>
  </si>
  <si>
    <t>Hold the various results information</t>
  </si>
  <si>
    <t>Information</t>
  </si>
  <si>
    <t>Version Control</t>
  </si>
  <si>
    <t>Author</t>
  </si>
  <si>
    <t>Approver</t>
  </si>
  <si>
    <t>Description of Changes</t>
  </si>
  <si>
    <t>none</t>
  </si>
  <si>
    <t>Client Logo</t>
  </si>
  <si>
    <t>Err</t>
  </si>
  <si>
    <t>Underlying Data</t>
  </si>
  <si>
    <t>Key</t>
  </si>
  <si>
    <t>l_</t>
  </si>
  <si>
    <t>list</t>
  </si>
  <si>
    <t>f_</t>
  </si>
  <si>
    <t>n_</t>
  </si>
  <si>
    <t>name</t>
  </si>
  <si>
    <t>l_Veracity</t>
  </si>
  <si>
    <t>l_OKErr</t>
  </si>
  <si>
    <t>Lists</t>
  </si>
  <si>
    <t>This sheet provides conversion tables to move between units</t>
  </si>
  <si>
    <t>Weight</t>
  </si>
  <si>
    <t>Distance</t>
  </si>
  <si>
    <t>km</t>
  </si>
  <si>
    <t>Volume</t>
  </si>
  <si>
    <t>l</t>
  </si>
  <si>
    <t>Energy</t>
  </si>
  <si>
    <t>MJ</t>
  </si>
  <si>
    <t>te.km</t>
  </si>
  <si>
    <t>Time</t>
  </si>
  <si>
    <t>yr</t>
  </si>
  <si>
    <t>Area</t>
  </si>
  <si>
    <t>m^2</t>
  </si>
  <si>
    <t>Unit</t>
  </si>
  <si>
    <t>Factor</t>
  </si>
  <si>
    <t>kg</t>
  </si>
  <si>
    <t>m</t>
  </si>
  <si>
    <t>litre</t>
  </si>
  <si>
    <t>kJ</t>
  </si>
  <si>
    <t>kg.km</t>
  </si>
  <si>
    <t>mo</t>
  </si>
  <si>
    <t>yd^2</t>
  </si>
  <si>
    <t>mile</t>
  </si>
  <si>
    <t>ml</t>
  </si>
  <si>
    <t>J</t>
  </si>
  <si>
    <t>te.m</t>
  </si>
  <si>
    <t>wk</t>
  </si>
  <si>
    <t>ft^2</t>
  </si>
  <si>
    <t>cm</t>
  </si>
  <si>
    <t>Mega-l</t>
  </si>
  <si>
    <t>GJ</t>
  </si>
  <si>
    <t>kg.m</t>
  </si>
  <si>
    <t>d</t>
  </si>
  <si>
    <t>acre</t>
  </si>
  <si>
    <t>g</t>
  </si>
  <si>
    <t>mm</t>
  </si>
  <si>
    <t>m^3</t>
  </si>
  <si>
    <t>TJ</t>
  </si>
  <si>
    <t>kte.km</t>
  </si>
  <si>
    <t>hr</t>
  </si>
  <si>
    <t>Ha</t>
  </si>
  <si>
    <t>lb</t>
  </si>
  <si>
    <t>kWh</t>
  </si>
  <si>
    <t>min</t>
  </si>
  <si>
    <t>km^2</t>
  </si>
  <si>
    <t>MWh</t>
  </si>
  <si>
    <t>sec</t>
  </si>
  <si>
    <t>sq.mile</t>
  </si>
  <si>
    <t>Btu</t>
  </si>
  <si>
    <t>user-defined FUNCTION</t>
  </si>
  <si>
    <t>a_</t>
  </si>
  <si>
    <t>array</t>
  </si>
  <si>
    <t>AF</t>
  </si>
  <si>
    <t>Index</t>
  </si>
  <si>
    <t>Count</t>
  </si>
  <si>
    <t>Chosen Unit</t>
  </si>
  <si>
    <t>Address</t>
  </si>
  <si>
    <t>l_Cols</t>
  </si>
  <si>
    <t>A</t>
  </si>
  <si>
    <t>B</t>
  </si>
  <si>
    <t>C</t>
  </si>
  <si>
    <t>D</t>
  </si>
  <si>
    <t>E</t>
  </si>
  <si>
    <t>G</t>
  </si>
  <si>
    <t>H</t>
  </si>
  <si>
    <t>I</t>
  </si>
  <si>
    <t>K</t>
  </si>
  <si>
    <t>L</t>
  </si>
  <si>
    <t>M</t>
  </si>
  <si>
    <t>N</t>
  </si>
  <si>
    <t>O</t>
  </si>
  <si>
    <t>P</t>
  </si>
  <si>
    <t>Q</t>
  </si>
  <si>
    <t>R</t>
  </si>
  <si>
    <t>S</t>
  </si>
  <si>
    <t>T</t>
  </si>
  <si>
    <t>U</t>
  </si>
  <si>
    <t>V</t>
  </si>
  <si>
    <t>W</t>
  </si>
  <si>
    <t>X</t>
  </si>
  <si>
    <t>Y</t>
  </si>
  <si>
    <t>Z</t>
  </si>
  <si>
    <t>AA</t>
  </si>
  <si>
    <t>AB</t>
  </si>
  <si>
    <t>AC</t>
  </si>
  <si>
    <t>AD</t>
  </si>
  <si>
    <t>AE</t>
  </si>
  <si>
    <t>AG</t>
  </si>
  <si>
    <t>AH</t>
  </si>
  <si>
    <t>AI</t>
  </si>
  <si>
    <t>AJ</t>
  </si>
  <si>
    <t>AK</t>
  </si>
  <si>
    <t>AL</t>
  </si>
  <si>
    <t>AM</t>
  </si>
  <si>
    <t>AN</t>
  </si>
  <si>
    <t>AO</t>
  </si>
  <si>
    <t>AP</t>
  </si>
  <si>
    <t>AQ</t>
  </si>
  <si>
    <t>AR</t>
  </si>
  <si>
    <t>AS</t>
  </si>
  <si>
    <t>AT</t>
  </si>
  <si>
    <t>AU</t>
  </si>
  <si>
    <t>AV</t>
  </si>
  <si>
    <t>AW</t>
  </si>
  <si>
    <t>AX</t>
  </si>
  <si>
    <t>AY</t>
  </si>
  <si>
    <t>AZ</t>
  </si>
  <si>
    <t>BA</t>
  </si>
  <si>
    <t>BB</t>
  </si>
  <si>
    <t>BC</t>
  </si>
  <si>
    <t>BD</t>
  </si>
  <si>
    <t>BE</t>
  </si>
  <si>
    <t>BF</t>
  </si>
  <si>
    <t>BG</t>
  </si>
  <si>
    <t>BH</t>
  </si>
  <si>
    <t>BI</t>
  </si>
  <si>
    <t>BJ</t>
  </si>
  <si>
    <t>BK</t>
  </si>
  <si>
    <t>BL</t>
  </si>
  <si>
    <t>BM</t>
  </si>
  <si>
    <t>BN</t>
  </si>
  <si>
    <t>BO</t>
  </si>
  <si>
    <t>BP</t>
  </si>
  <si>
    <t>BQ</t>
  </si>
  <si>
    <t>BR</t>
  </si>
  <si>
    <t>BS</t>
  </si>
  <si>
    <t>BT</t>
  </si>
  <si>
    <t>BU</t>
  </si>
  <si>
    <t>BV</t>
  </si>
  <si>
    <t>BW</t>
  </si>
  <si>
    <t>BX</t>
  </si>
  <si>
    <t>BY</t>
  </si>
  <si>
    <t>BZ</t>
  </si>
  <si>
    <t>CA</t>
  </si>
  <si>
    <t>CB</t>
  </si>
  <si>
    <t>CC</t>
  </si>
  <si>
    <t>CD</t>
  </si>
  <si>
    <t>CE</t>
  </si>
  <si>
    <t>CF</t>
  </si>
  <si>
    <t>CG</t>
  </si>
  <si>
    <t>CH</t>
  </si>
  <si>
    <t>CI</t>
  </si>
  <si>
    <t>CJ</t>
  </si>
  <si>
    <t>CK</t>
  </si>
  <si>
    <t>CL</t>
  </si>
  <si>
    <t>CM</t>
  </si>
  <si>
    <t>CN</t>
  </si>
  <si>
    <t>CO</t>
  </si>
  <si>
    <t>CP</t>
  </si>
  <si>
    <t>CQ</t>
  </si>
  <si>
    <t>CR</t>
  </si>
  <si>
    <t>CS</t>
  </si>
  <si>
    <t>CT</t>
  </si>
  <si>
    <t>CU</t>
  </si>
  <si>
    <t>CV</t>
  </si>
  <si>
    <t>CW</t>
  </si>
  <si>
    <t>CX</t>
  </si>
  <si>
    <t>CY</t>
  </si>
  <si>
    <t>CZ</t>
  </si>
  <si>
    <t>DA</t>
  </si>
  <si>
    <t>DB</t>
  </si>
  <si>
    <t>DC</t>
  </si>
  <si>
    <t>DD</t>
  </si>
  <si>
    <t>DE</t>
  </si>
  <si>
    <t>DF</t>
  </si>
  <si>
    <t>DG</t>
  </si>
  <si>
    <t>DH</t>
  </si>
  <si>
    <t>DI</t>
  </si>
  <si>
    <t>DJ</t>
  </si>
  <si>
    <t>DK</t>
  </si>
  <si>
    <t>DL</t>
  </si>
  <si>
    <t>DM</t>
  </si>
  <si>
    <t>DN</t>
  </si>
  <si>
    <t>DO</t>
  </si>
  <si>
    <t>DP</t>
  </si>
  <si>
    <t>DQ</t>
  </si>
  <si>
    <t>DR</t>
  </si>
  <si>
    <t>DS</t>
  </si>
  <si>
    <t>DT</t>
  </si>
  <si>
    <t>DU</t>
  </si>
  <si>
    <t>DV</t>
  </si>
  <si>
    <t>DW</t>
  </si>
  <si>
    <t>DX</t>
  </si>
  <si>
    <t>DY</t>
  </si>
  <si>
    <t>DZ</t>
  </si>
  <si>
    <t>EA</t>
  </si>
  <si>
    <t>EB</t>
  </si>
  <si>
    <t>EC</t>
  </si>
  <si>
    <t>ED</t>
  </si>
  <si>
    <t>EE</t>
  </si>
  <si>
    <t>EF</t>
  </si>
  <si>
    <t>EG</t>
  </si>
  <si>
    <t>EH</t>
  </si>
  <si>
    <t>EI</t>
  </si>
  <si>
    <t>EJ</t>
  </si>
  <si>
    <t>EK</t>
  </si>
  <si>
    <t>EL</t>
  </si>
  <si>
    <t>EM</t>
  </si>
  <si>
    <t>EN</t>
  </si>
  <si>
    <t>EO</t>
  </si>
  <si>
    <t>EP</t>
  </si>
  <si>
    <t>EQ</t>
  </si>
  <si>
    <t>ER</t>
  </si>
  <si>
    <t>ES</t>
  </si>
  <si>
    <t>ET</t>
  </si>
  <si>
    <t>EU</t>
  </si>
  <si>
    <t>EV</t>
  </si>
  <si>
    <t>EW</t>
  </si>
  <si>
    <t>EX</t>
  </si>
  <si>
    <t>EY</t>
  </si>
  <si>
    <t>EZ</t>
  </si>
  <si>
    <t>FA</t>
  </si>
  <si>
    <t>FB</t>
  </si>
  <si>
    <t>FC</t>
  </si>
  <si>
    <t>FD</t>
  </si>
  <si>
    <t>FE</t>
  </si>
  <si>
    <t>FF</t>
  </si>
  <si>
    <t>FG</t>
  </si>
  <si>
    <t>FH</t>
  </si>
  <si>
    <t>FI</t>
  </si>
  <si>
    <t>FJ</t>
  </si>
  <si>
    <t>FK</t>
  </si>
  <si>
    <t>FL</t>
  </si>
  <si>
    <t>FM</t>
  </si>
  <si>
    <t>FN</t>
  </si>
  <si>
    <t>FO</t>
  </si>
  <si>
    <t>FP</t>
  </si>
  <si>
    <t>FQ</t>
  </si>
  <si>
    <t>FR</t>
  </si>
  <si>
    <t>FS</t>
  </si>
  <si>
    <t>FT</t>
  </si>
  <si>
    <t>FU</t>
  </si>
  <si>
    <t>FV</t>
  </si>
  <si>
    <t>FW</t>
  </si>
  <si>
    <t>FX</t>
  </si>
  <si>
    <t>FY</t>
  </si>
  <si>
    <t>FZ</t>
  </si>
  <si>
    <t>GA</t>
  </si>
  <si>
    <t>GB</t>
  </si>
  <si>
    <t>GC</t>
  </si>
  <si>
    <t>GD</t>
  </si>
  <si>
    <t>GE</t>
  </si>
  <si>
    <t>GF</t>
  </si>
  <si>
    <t>GG</t>
  </si>
  <si>
    <t>GH</t>
  </si>
  <si>
    <t>GI</t>
  </si>
  <si>
    <t>GK</t>
  </si>
  <si>
    <t>GL</t>
  </si>
  <si>
    <t>GM</t>
  </si>
  <si>
    <t>GN</t>
  </si>
  <si>
    <t>GO</t>
  </si>
  <si>
    <t>GP</t>
  </si>
  <si>
    <t>GQ</t>
  </si>
  <si>
    <t>GR</t>
  </si>
  <si>
    <t>GS</t>
  </si>
  <si>
    <t>GT</t>
  </si>
  <si>
    <t>GU</t>
  </si>
  <si>
    <t>GV</t>
  </si>
  <si>
    <t>GW</t>
  </si>
  <si>
    <t>GX</t>
  </si>
  <si>
    <t>GY</t>
  </si>
  <si>
    <t>GZ</t>
  </si>
  <si>
    <t>HA</t>
  </si>
  <si>
    <t>HB</t>
  </si>
  <si>
    <t>HC</t>
  </si>
  <si>
    <t>HD</t>
  </si>
  <si>
    <t>HE</t>
  </si>
  <si>
    <t>HF</t>
  </si>
  <si>
    <t>HG</t>
  </si>
  <si>
    <t>HH</t>
  </si>
  <si>
    <t>HI</t>
  </si>
  <si>
    <t>HJ</t>
  </si>
  <si>
    <t>HK</t>
  </si>
  <si>
    <t>HL</t>
  </si>
  <si>
    <t>HM</t>
  </si>
  <si>
    <t>HN</t>
  </si>
  <si>
    <t>HO</t>
  </si>
  <si>
    <t>HP</t>
  </si>
  <si>
    <t>HQ</t>
  </si>
  <si>
    <t>HR</t>
  </si>
  <si>
    <t>HS</t>
  </si>
  <si>
    <t>HT</t>
  </si>
  <si>
    <t>HU</t>
  </si>
  <si>
    <t>HV</t>
  </si>
  <si>
    <t>HW</t>
  </si>
  <si>
    <t>HX</t>
  </si>
  <si>
    <t>HY</t>
  </si>
  <si>
    <t>HZ</t>
  </si>
  <si>
    <t>IA</t>
  </si>
  <si>
    <t>IB</t>
  </si>
  <si>
    <t>IC</t>
  </si>
  <si>
    <t>ID</t>
  </si>
  <si>
    <t>IE</t>
  </si>
  <si>
    <t>IF</t>
  </si>
  <si>
    <t>IG</t>
  </si>
  <si>
    <t>IH</t>
  </si>
  <si>
    <t>II</t>
  </si>
  <si>
    <t>IJ</t>
  </si>
  <si>
    <t>IK</t>
  </si>
  <si>
    <t>IL</t>
  </si>
  <si>
    <t>IM</t>
  </si>
  <si>
    <t>IN</t>
  </si>
  <si>
    <t>IO</t>
  </si>
  <si>
    <t>IP</t>
  </si>
  <si>
    <t>IQ</t>
  </si>
  <si>
    <t>IR</t>
  </si>
  <si>
    <t>IS</t>
  </si>
  <si>
    <t>IT</t>
  </si>
  <si>
    <t>IU</t>
  </si>
  <si>
    <t>IV</t>
  </si>
  <si>
    <t>List of Units</t>
  </si>
  <si>
    <t>Array of Units</t>
  </si>
  <si>
    <t>l_Dimension</t>
  </si>
  <si>
    <t>dim</t>
  </si>
  <si>
    <t>l_Unit</t>
  </si>
  <si>
    <t>Range</t>
  </si>
  <si>
    <t>l_UnitListAddresses</t>
  </si>
  <si>
    <t>a_UnitsNames</t>
  </si>
  <si>
    <t>l_UnitArrayAddresses</t>
  </si>
  <si>
    <t>Enter in the tables below the possible units and their conversion factors</t>
  </si>
  <si>
    <t>Freight</t>
  </si>
  <si>
    <t>Speed</t>
  </si>
  <si>
    <t>w</t>
  </si>
  <si>
    <t>t</t>
  </si>
  <si>
    <t>v</t>
  </si>
  <si>
    <t>e</t>
  </si>
  <si>
    <t>f</t>
  </si>
  <si>
    <t>a</t>
  </si>
  <si>
    <t>s</t>
  </si>
  <si>
    <t>kph</t>
  </si>
  <si>
    <t>kt</t>
  </si>
  <si>
    <t>Mt</t>
  </si>
  <si>
    <t>mg</t>
  </si>
  <si>
    <t>Units</t>
  </si>
  <si>
    <t>Low</t>
  </si>
  <si>
    <t>u_</t>
  </si>
  <si>
    <t>default units</t>
  </si>
  <si>
    <t>Background Info &gt;</t>
  </si>
  <si>
    <t>unit</t>
  </si>
  <si>
    <t>pair</t>
  </si>
  <si>
    <t>dozen</t>
  </si>
  <si>
    <t>score</t>
  </si>
  <si>
    <t>c</t>
  </si>
  <si>
    <t>m/s</t>
  </si>
  <si>
    <t>k/s</t>
  </si>
  <si>
    <t>Sheet Name:</t>
  </si>
  <si>
    <t>Linked Cell</t>
  </si>
  <si>
    <t>Note</t>
  </si>
  <si>
    <t>Output</t>
  </si>
  <si>
    <t>Holds data entered by the user</t>
  </si>
  <si>
    <t>Use for notes about calculations</t>
  </si>
  <si>
    <t>Data Entry / Scenario</t>
  </si>
  <si>
    <r>
      <t xml:space="preserve">This table summarises the data entered in rows 30 and beyond, so </t>
    </r>
    <r>
      <rPr>
        <b/>
        <i/>
        <sz val="10"/>
        <color rgb="FFFF0000"/>
        <rFont val="Calibri"/>
        <family val="2"/>
        <scheme val="minor"/>
      </rPr>
      <t>DO NOT EDIT THE TABLE!!!</t>
    </r>
  </si>
  <si>
    <t>Explanation</t>
  </si>
  <si>
    <t>Holds user-selected data from drop-down menu</t>
  </si>
  <si>
    <t>Holds the calculations</t>
  </si>
  <si>
    <t>Explanatory Text</t>
  </si>
  <si>
    <t>Explanatory Information</t>
  </si>
  <si>
    <t>Holds background information</t>
  </si>
  <si>
    <t>Check Cell</t>
  </si>
  <si>
    <t>Warning Text</t>
  </si>
  <si>
    <t>Background_Data</t>
  </si>
  <si>
    <t>Input</t>
  </si>
  <si>
    <t>DropMenu</t>
  </si>
  <si>
    <t>Cell Styles</t>
  </si>
  <si>
    <t>Can be used to hide/unhide named groups of tabs</t>
  </si>
  <si>
    <t>#</t>
  </si>
  <si>
    <t>Lifts data from other cells without any calculation beyond a lookup</t>
  </si>
  <si>
    <t>Holds underlying data entered by the programmer</t>
  </si>
  <si>
    <t>This sheet can be hidden but do not delete. It holds some named ranges that are used by the workbook</t>
  </si>
  <si>
    <t>Sheet Explanation</t>
  </si>
  <si>
    <t>Value</t>
  </si>
  <si>
    <t>Names of sheets being checked</t>
  </si>
  <si>
    <t>n_ErrorChecking</t>
  </si>
  <si>
    <t>High-Level Error Checking</t>
  </si>
  <si>
    <t>Title Page</t>
  </si>
  <si>
    <t>Select a Country</t>
  </si>
  <si>
    <t>Austria</t>
  </si>
  <si>
    <t>Belgium</t>
  </si>
  <si>
    <t>Germany</t>
  </si>
  <si>
    <t>Denmark</t>
  </si>
  <si>
    <t>France</t>
  </si>
  <si>
    <t>Luxemburg</t>
  </si>
  <si>
    <t>The Netherlands</t>
  </si>
  <si>
    <t>UK</t>
  </si>
  <si>
    <t>l_YesNo</t>
  </si>
  <si>
    <t>Yes</t>
  </si>
  <si>
    <t>No</t>
  </si>
  <si>
    <t>Choose List:</t>
  </si>
  <si>
    <t>How List Appears:</t>
  </si>
  <si>
    <t>COD</t>
  </si>
  <si>
    <t>m3/h</t>
  </si>
  <si>
    <t>l_EnConBasis</t>
  </si>
  <si>
    <t>Mean WW treatment energy</t>
  </si>
  <si>
    <t xml:space="preserve"> + SE for WW treatment energy</t>
  </si>
  <si>
    <t xml:space="preserve"> - SE for WW treatment energy</t>
  </si>
  <si>
    <t>l_TreatEnergy</t>
  </si>
  <si>
    <t>This sheet provides country specific background parameters</t>
  </si>
  <si>
    <t>mean</t>
  </si>
  <si>
    <t>Parameter</t>
  </si>
  <si>
    <t>WWTP for EU</t>
  </si>
  <si>
    <t>kWh/m3</t>
  </si>
  <si>
    <t>kWh/kg</t>
  </si>
  <si>
    <t xml:space="preserve"> </t>
  </si>
  <si>
    <t>Parameter:</t>
  </si>
  <si>
    <t>Cut:</t>
  </si>
  <si>
    <t>Unit:</t>
  </si>
  <si>
    <t>GWh/yr</t>
  </si>
  <si>
    <t>EBAT = Energy Balance Assessment Tool</t>
  </si>
  <si>
    <t>kgCO2e/kWh</t>
  </si>
  <si>
    <t>Conversion factor for electricity</t>
  </si>
  <si>
    <t>mg/L</t>
  </si>
  <si>
    <t>Energy intensity for COD removal</t>
  </si>
  <si>
    <t>g/person/day</t>
  </si>
  <si>
    <t>kg/day</t>
  </si>
  <si>
    <t>L/person/day</t>
  </si>
  <si>
    <t>Number of inhabitants per household</t>
  </si>
  <si>
    <t>Conversion factor for Natural Gas</t>
  </si>
  <si>
    <t>Total annual industrial COD production</t>
  </si>
  <si>
    <t>TonneCOD/year</t>
  </si>
  <si>
    <t>Total annual residential COD production</t>
  </si>
  <si>
    <t>J/kg.C</t>
  </si>
  <si>
    <t>Heat constant, Cp</t>
  </si>
  <si>
    <t>Temperature of hot water leaving the tap</t>
  </si>
  <si>
    <t>Temperature of water entering the house</t>
  </si>
  <si>
    <t>Domestic Hot Water (DHW)</t>
  </si>
  <si>
    <t>Annual Energy Consumed</t>
  </si>
  <si>
    <t>Energy intensity for treating wastewater (- SE)</t>
  </si>
  <si>
    <t>Energy intensity for treating wastewater (+ SE)</t>
  </si>
  <si>
    <t>Energy intensity Standard Error (SE) for treating wastewater</t>
  </si>
  <si>
    <t>kWh/TonneCOD</t>
  </si>
  <si>
    <t>Energy intensity for treating wastewater (mean)</t>
  </si>
  <si>
    <t>Energy intensity for pumping wastewater</t>
  </si>
  <si>
    <t>Energy intensity for treating drinking water</t>
  </si>
  <si>
    <t>Energy intensity for pumping and distributing raw water</t>
  </si>
  <si>
    <t>kWh/m3/m</t>
  </si>
  <si>
    <t>Energy intensity for pumping ground-water</t>
  </si>
  <si>
    <t>m3/year</t>
  </si>
  <si>
    <t>Number of households supplied</t>
  </si>
  <si>
    <t xml:space="preserve">Total </t>
  </si>
  <si>
    <t>Energy consumed</t>
  </si>
  <si>
    <t>Select country of interest</t>
  </si>
  <si>
    <t>Default</t>
  </si>
  <si>
    <t>User</t>
  </si>
  <si>
    <t>Final</t>
  </si>
  <si>
    <r>
      <t>m</t>
    </r>
    <r>
      <rPr>
        <vertAlign val="superscript"/>
        <sz val="10"/>
        <color theme="1"/>
        <rFont val="Calibri"/>
        <family val="2"/>
        <scheme val="minor"/>
      </rPr>
      <t>3</t>
    </r>
    <r>
      <rPr>
        <sz val="10"/>
        <color theme="1"/>
        <rFont val="Calibri"/>
        <family val="2"/>
        <scheme val="minor"/>
      </rPr>
      <t>/day</t>
    </r>
  </si>
  <si>
    <r>
      <t>kWh/m</t>
    </r>
    <r>
      <rPr>
        <vertAlign val="superscript"/>
        <sz val="10"/>
        <color theme="1"/>
        <rFont val="Calibri"/>
        <family val="2"/>
        <scheme val="minor"/>
      </rPr>
      <t>3</t>
    </r>
  </si>
  <si>
    <r>
      <t>Energy required to heat 1m</t>
    </r>
    <r>
      <rPr>
        <vertAlign val="superscript"/>
        <sz val="10"/>
        <color theme="1"/>
        <rFont val="Calibri"/>
        <family val="2"/>
        <scheme val="minor"/>
      </rPr>
      <t>3</t>
    </r>
    <r>
      <rPr>
        <sz val="10"/>
        <color theme="1"/>
        <rFont val="Calibri"/>
        <family val="2"/>
        <scheme val="minor"/>
      </rPr>
      <t xml:space="preserve"> for the temp range</t>
    </r>
  </si>
  <si>
    <t>Data Input</t>
  </si>
  <si>
    <t>Firstly, the data inputs are copied across</t>
  </si>
  <si>
    <t>Calculations</t>
  </si>
  <si>
    <t>The above numbers are manipulated in the calculations below</t>
  </si>
  <si>
    <t>Days per year</t>
  </si>
  <si>
    <t>l_Countries, a_Countries</t>
  </si>
  <si>
    <t>kWh/kgCOD</t>
  </si>
  <si>
    <t>This sheet collates other background data found in the original model</t>
  </si>
  <si>
    <t>It is assumed that the user should not be able to change these values</t>
  </si>
  <si>
    <t>% of Total</t>
  </si>
  <si>
    <t>Calculated</t>
  </si>
  <si>
    <t>Looked up</t>
  </si>
  <si>
    <t>This sheets brings in the necessary input and underlying data and performs the main calculations</t>
  </si>
  <si>
    <t>Secondly, the underlying background data</t>
  </si>
  <si>
    <t>Country-Specific Data</t>
  </si>
  <si>
    <t>Background Data</t>
  </si>
  <si>
    <t>Front Sheet</t>
  </si>
  <si>
    <t>Min</t>
  </si>
  <si>
    <t>Max</t>
  </si>
  <si>
    <t>persons/hh</t>
  </si>
  <si>
    <t>l/d/hh</t>
  </si>
  <si>
    <t>kWh/d/hh</t>
  </si>
  <si>
    <t>Schematic Diagram</t>
  </si>
  <si>
    <t>n_Country</t>
  </si>
  <si>
    <t>Main Sheet</t>
  </si>
  <si>
    <t>Grouping Sheet &gt;</t>
  </si>
  <si>
    <t>The toolkit is presented over a number of worksheets, colour-coded to denote their role, according to the following system:</t>
  </si>
  <si>
    <t>Background data that the user should not need to adjust</t>
  </si>
  <si>
    <t>The main input and output page</t>
  </si>
  <si>
    <t>Background sheets in which the primary calculations are made</t>
  </si>
  <si>
    <t>Sheets presenting the results of the calculations</t>
  </si>
  <si>
    <t>An analogous colour-coding is also used for individual cells, as follows:</t>
  </si>
  <si>
    <t>The workbook and worksheet are protected so that users should only be able to adjust values in green cells (input and drop-menus)</t>
  </si>
  <si>
    <t>Introduction and Key</t>
  </si>
  <si>
    <t>Under the diagram, the "Control Parameters" section allows the user to choose from drop-menus:</t>
  </si>
  <si>
    <t>For most parameters, a default value is offered in the yellow cell</t>
  </si>
  <si>
    <t>8R4df0rd</t>
  </si>
  <si>
    <t>This explains how to use the "Front Sheet"</t>
  </si>
  <si>
    <t>The diagram and the input and output sections that follow it can be expanded/collapsed using the buttons in the left margin, to ease navigation</t>
  </si>
  <si>
    <t>The next four sections seek user input on Supply, Households, Industry and Treatment:</t>
  </si>
  <si>
    <t>However, the results are still calculated, even if an input is outside expected limits</t>
  </si>
  <si>
    <t>Key, Version Control and Errors</t>
  </si>
  <si>
    <t>User Instructions</t>
  </si>
  <si>
    <t>Further Results</t>
  </si>
  <si>
    <t>Energy Balance Assessment Tool</t>
  </si>
  <si>
    <t>Grouping sheets, that enable tabs to be hidden when not required (by clicking on the buttons), aiding workbook navigation</t>
  </si>
  <si>
    <t>For information, the workbook briefly reverts to the Title Page whenever saved, so that it always opens on that sheet</t>
  </si>
  <si>
    <t>The original cell shading colour are preserved in column H, in case they aid navigation</t>
  </si>
  <si>
    <t>Alternative Reporting Units</t>
  </si>
  <si>
    <t>Carbon</t>
  </si>
  <si>
    <t>GWh</t>
  </si>
  <si>
    <t>TWh</t>
  </si>
  <si>
    <t>MWh/yr</t>
  </si>
  <si>
    <t>TWh/yr</t>
  </si>
  <si>
    <t>kWh/yr</t>
  </si>
  <si>
    <t>MJ/yr</t>
  </si>
  <si>
    <t>GJ/yr</t>
  </si>
  <si>
    <t>TJ/yr</t>
  </si>
  <si>
    <t>kg CO2e/yr</t>
  </si>
  <si>
    <t>t CO2e/yr</t>
  </si>
  <si>
    <t>kt CO2e/yr</t>
  </si>
  <si>
    <t>Mt CO2e /yr</t>
  </si>
  <si>
    <t>%</t>
  </si>
  <si>
    <t>Sheets providing other information (like these instructions)</t>
  </si>
  <si>
    <t>The workbook contains macros so it would be good to enable their use, though it should also work adequately with them disabled</t>
  </si>
  <si>
    <t>The macros aid navigation and visibility of sheets</t>
  </si>
  <si>
    <t>Macros and Protection</t>
  </si>
  <si>
    <t>Carbon emitted</t>
  </si>
  <si>
    <t>Number of households being serviced within the catchment</t>
  </si>
  <si>
    <r>
      <t>kWh/kg</t>
    </r>
    <r>
      <rPr>
        <vertAlign val="subscript"/>
        <sz val="10"/>
        <color theme="1"/>
        <rFont val="Calibri"/>
        <family val="2"/>
        <scheme val="minor"/>
      </rPr>
      <t>eliminatedCOD</t>
    </r>
  </si>
  <si>
    <t>Pump WW within sewer</t>
  </si>
  <si>
    <t>Treating drinking water</t>
  </si>
  <si>
    <t>pumping and distributing raw water</t>
  </si>
  <si>
    <t>% of energy used in pumping</t>
  </si>
  <si>
    <t>% of energy used in treatment</t>
  </si>
  <si>
    <t>% of energy used in pumping drinking water</t>
  </si>
  <si>
    <t>% of energy used in treating drinking water</t>
  </si>
  <si>
    <t>Total WW Pumping &amp; Treatment (columns I + K)</t>
  </si>
  <si>
    <t>Pumping, distributing and treating drinking water (columns O + P)</t>
  </si>
  <si>
    <t>Standard error derived from regression analysis</t>
  </si>
  <si>
    <t>Energy use</t>
  </si>
  <si>
    <t>Yes or No?</t>
  </si>
  <si>
    <t>COD or m3?</t>
  </si>
  <si>
    <t>WWT Energy?</t>
  </si>
  <si>
    <t>Performance factor for pumping raw water</t>
  </si>
  <si>
    <t>Performance factor for pumping wastewater</t>
  </si>
  <si>
    <t>Performance factor for treating drinking water</t>
  </si>
  <si>
    <t>Performance factor for treating wastewater</t>
  </si>
  <si>
    <t>Performance factor for heating DHW</t>
  </si>
  <si>
    <t>households</t>
  </si>
  <si>
    <t/>
  </si>
  <si>
    <t>Cut</t>
  </si>
  <si>
    <t>Output:</t>
  </si>
  <si>
    <t xml:space="preserve">  </t>
  </si>
  <si>
    <t xml:space="preserve">   </t>
  </si>
  <si>
    <t>…with the country-specific data for:</t>
  </si>
  <si>
    <t>Average</t>
  </si>
  <si>
    <t>Annual production of potable water</t>
  </si>
  <si>
    <t>Energy Use</t>
  </si>
  <si>
    <t>Energy intensity for abstracting ground-water</t>
  </si>
  <si>
    <r>
      <t>CO</t>
    </r>
    <r>
      <rPr>
        <b/>
        <i/>
        <vertAlign val="subscript"/>
        <sz val="11"/>
        <rFont val="Calibri"/>
        <family val="2"/>
        <scheme val="minor"/>
      </rPr>
      <t>2</t>
    </r>
    <r>
      <rPr>
        <b/>
        <i/>
        <sz val="11"/>
        <rFont val="Calibri"/>
        <family val="2"/>
        <scheme val="minor"/>
      </rPr>
      <t>e emissions</t>
    </r>
  </si>
  <si>
    <t>Proportion of water not returned to sewer</t>
  </si>
  <si>
    <t>Average industrial COD produced</t>
  </si>
  <si>
    <t>Average domestic COD production</t>
  </si>
  <si>
    <t>Average volume of industrial effluent discharged to sewer</t>
  </si>
  <si>
    <t>COD discharge consent limit</t>
  </si>
  <si>
    <t>Annual rainwater received by combined sewers</t>
  </si>
  <si>
    <t xml:space="preserve">Mean volume of wastewater discharged to sewer </t>
  </si>
  <si>
    <t xml:space="preserve">Annual volume of domestic wastewater discharged to sewer </t>
  </si>
  <si>
    <t xml:space="preserve">Annual volume of industrial effluent </t>
  </si>
  <si>
    <t>Annual volume of leaked drinking water</t>
  </si>
  <si>
    <t>Energy intensity for pumping raw and potable water</t>
  </si>
  <si>
    <t>Volumes</t>
  </si>
  <si>
    <t>Mean Domestic Hot Water (DHW) consumption</t>
  </si>
  <si>
    <t>Abstraction, treatment and pumping of potable water lost through leakage</t>
  </si>
  <si>
    <t>Abstraction, treatment and pumping of potable water minus leakage</t>
  </si>
  <si>
    <t>Treatment of drinking water and wastewater minus leakage (mean WW values)</t>
  </si>
  <si>
    <t>Treatment of drinking water and wastewater minus leakage (+ SE for WW values)</t>
  </si>
  <si>
    <t>Treatment of drinking water and wastewater minus leakage (- SE for WW values)</t>
  </si>
  <si>
    <t>Abstraction of leaked groundwater</t>
  </si>
  <si>
    <t>Pumping of leaked drinking water</t>
  </si>
  <si>
    <t>Treatment of leaked drinking water</t>
  </si>
  <si>
    <t>Abstraction of groundwater supplied (i.e. not including leakage)</t>
  </si>
  <si>
    <t>Pumping of potable water supplied (i.e. not including leakage)</t>
  </si>
  <si>
    <t>Treatment of potable water supplied (i.e. not including leakage)</t>
  </si>
  <si>
    <t>Pumping of rainwater received by combined sewers</t>
  </si>
  <si>
    <t>Treatment of domestic wastewater (mean)</t>
  </si>
  <si>
    <t>Pumping of domestic wastewater</t>
  </si>
  <si>
    <t>Treatment of domestic wastewater  (+ SE)</t>
  </si>
  <si>
    <t>Treatment of domestic wastewater (- SE)</t>
  </si>
  <si>
    <t>Punping of domestic wastewater including rainwater</t>
  </si>
  <si>
    <t>Treatment of domestic wastewater including rainwater (mean)</t>
  </si>
  <si>
    <t>Treatment of domestic wastewater  including rainwater (+ SE)</t>
  </si>
  <si>
    <t>Treatment of domestic wastewater  including rainwater  (- SE)</t>
  </si>
  <si>
    <t>Treatment of industrial wastewater (mean)</t>
  </si>
  <si>
    <t>Treatment of industrial wastewater  (+ SE)</t>
  </si>
  <si>
    <t>Treatment of industrial wastewater (- SE)</t>
  </si>
  <si>
    <t>Pumping of water over the full cycle excluding leakage and rainwater</t>
  </si>
  <si>
    <t>Pumping of water over the full cycle excluding leakage but including rainwater</t>
  </si>
  <si>
    <t>Heating Domestic Hot Water (DHW)</t>
  </si>
  <si>
    <t>Heating DHW (daily)</t>
  </si>
  <si>
    <t>Heating DHW (yearly)</t>
  </si>
  <si>
    <t>All areas</t>
  </si>
  <si>
    <r>
      <t xml:space="preserve">All areas </t>
    </r>
    <r>
      <rPr>
        <b/>
        <i/>
        <sz val="11"/>
        <color rgb="FFFF0000"/>
        <rFont val="Calibri"/>
        <family val="2"/>
        <scheme val="minor"/>
      </rPr>
      <t>excluding heating of DHW</t>
    </r>
  </si>
  <si>
    <t>This sheet summarises the results for the whole water cycle and also the whole water cycle excluding heating of DHW</t>
  </si>
  <si>
    <t>COD Elimination (if known)</t>
  </si>
  <si>
    <t>KWh</t>
  </si>
  <si>
    <t>Kg CO2e</t>
  </si>
  <si>
    <t>Heating of DHW per m3</t>
  </si>
  <si>
    <t>Total per m3</t>
  </si>
  <si>
    <t>RP</t>
  </si>
  <si>
    <t>Results Summary</t>
  </si>
  <si>
    <t>Admin Instructions</t>
  </si>
  <si>
    <t>l_VeryHideSheets</t>
  </si>
  <si>
    <t>Tool to estimate total energy consumption in the urban water cycle</t>
  </si>
  <si>
    <t>This sheet explains how the EBAT calculator can be used. We strongly recommend that users digest this information before starting to use it.</t>
  </si>
  <si>
    <t xml:space="preserve">EBAT is designed to estimate total energy consumption in the urban water cycle </t>
  </si>
  <si>
    <t>At the top of the 'Front Sheet' there is a schematic diagram, showing the flows and reporting covered, and the naming/numbering convention followed</t>
  </si>
  <si>
    <t xml:space="preserve">The user may choose to override the default by entering a value in the green cell beside </t>
  </si>
  <si>
    <t>The value used by the tool is shown in the blue cell, and this will be either the user override or, otherwise, the default value</t>
  </si>
  <si>
    <t>If the blue cell turns into bold red text highlighted in yellow, this warns that the entry is outside the expected limits (which are in columns J and K)</t>
  </si>
  <si>
    <t xml:space="preserve">These results are presented again in both numerical and graphical format in the 'Results Summary' tab </t>
  </si>
  <si>
    <t>The key results (in terms of energy consumed and carbon emissions) are presented at the bottom of the 'Front Sheet'</t>
  </si>
  <si>
    <t>This enabels the user to compare the results for the different stages of the water cycle, with the results presented twice (with or without the results for heating of domestic hot water)</t>
  </si>
  <si>
    <t>If you have accurate data you would like EBAT to use, rather than the data entered by the programmers, then you can amend any of the figures in the 'Calculations', 'Country-Specific Data, or 'Backgraound Data tabs</t>
  </si>
  <si>
    <t>% of potable water leaked from the supply system prior to delivery</t>
  </si>
  <si>
    <t>Average depth from which groundwater is abstracted</t>
  </si>
  <si>
    <t>% of groundwater sourced</t>
  </si>
  <si>
    <t>Explanation of default values used in the 'Front Sheet'</t>
  </si>
  <si>
    <t>Typical % of potable water leaked from the supply system prior to delivery</t>
  </si>
  <si>
    <t>Average temperature of water entering households</t>
  </si>
  <si>
    <t>Average temperature of hot water leaving the tap in households</t>
  </si>
  <si>
    <t>Volume of potable water produced (including all leakage)</t>
  </si>
  <si>
    <t xml:space="preserve">Volume of potable water produced (including all leakage), based on the figure of 150l/p/d for UK from UN Development Programme, Human Development Report 2006 and 33.33% proportional leakage. </t>
  </si>
  <si>
    <t>Number of inhabitants per household (Value taken from EU and National Statistics)</t>
  </si>
  <si>
    <t>Front Sheet Row Number</t>
  </si>
  <si>
    <t>Proportion of water not returned to sewer (usually between 5-10% in the UK)</t>
  </si>
  <si>
    <t>Rainfall received by combined sewers (if present)</t>
  </si>
  <si>
    <t xml:space="preserve">Calculated </t>
  </si>
  <si>
    <t>Volume of domestic wastewater discharged to sewer</t>
  </si>
  <si>
    <t>l/day/hh</t>
  </si>
  <si>
    <t>Average volume of Domestic Hot Water (DHW) consumed</t>
  </si>
  <si>
    <t xml:space="preserve">The UK volume of DHW used per household (NOT per person) per day (Source: Energy Savings Trust Study 2007). </t>
  </si>
  <si>
    <t>Average daily domestic COD production per person. This value is taken from the INNERS 2014 'Potential for energy optimisation on WWTP in NWE (Benchmark report)</t>
  </si>
  <si>
    <t>% of energy used in supply that is renewable and generated onsite</t>
  </si>
  <si>
    <t>% of energy used in treatment that is renewable and generated onsite</t>
  </si>
  <si>
    <t>For example, enter 50% where equiptment is using half the energy of average equipment; or enter 150% where equipment is using 50% more than average equipment</t>
  </si>
  <si>
    <t xml:space="preserve">If equiptment energy usage is above or below that of an average catchment, then enter performance factors in rows 61-65, or update the energy intensity data in the 'Background Data' tab. </t>
  </si>
  <si>
    <t>Genergic User Instructions</t>
  </si>
  <si>
    <t>Specific Guidance on Equipment Performance</t>
  </si>
  <si>
    <t>If you wish make changes to the background data, you may wish to protect the workbook again prior to circulating to others, so that you can retain control on behalf of your organisation</t>
  </si>
  <si>
    <t>Number of people per household x Litres/person/day received by combined sewer x number of households serviced  x number of days in a year, the calculation result has been convertedfrom litres into m3.</t>
  </si>
  <si>
    <t xml:space="preserve">Mean volume of wastewater discharged to sewer per day, converted from litres into m3, x number of days per year x number of households serviced. </t>
  </si>
  <si>
    <t>Daily volume of industrial effluent discharged to sewer in m3 x number of days per year.</t>
  </si>
  <si>
    <t xml:space="preserve">Litres of potable water produced per person per day, converted from litres into m3 x number of people per household x number of days per year x number of households in the catchment serviced x  % of leaked water. </t>
  </si>
  <si>
    <t>Litres of potable water produced per person per day, converted from litres into m3 x number of people per household x number of days per year x number of households in the catchment serviced.</t>
  </si>
  <si>
    <t>% of energy used in pumping x energy intensity for pumping and treating raw water</t>
  </si>
  <si>
    <t>% of energy used in treating raw water x energy intensity for pumping and treating raw water</t>
  </si>
  <si>
    <t>The COD treatment energy demand value in the 'Country specific data' tab (cell D12), is converted from Kwh/kgCOD to Kwh/TonneCOD</t>
  </si>
  <si>
    <t xml:space="preserve">The mean value for the energy demand of wastewater treatment + the associated Standard Error </t>
  </si>
  <si>
    <t>The mean value for the energy demand of wastewater treatment - the associated Standard Error</t>
  </si>
  <si>
    <t>% of ground water sourced x annual volume of leaked drinking water x average depth from which groundwater is abstracted x energy intensity for abstracting groundwater per m3/m x performance factor for pumping raw water. The result has been converted from Kwh/yr into Gwh/yr</t>
  </si>
  <si>
    <t>Annual volume of leaked drinking water x energy intensity for pumping raw and potable water x  performance factor for pumping raw water. The result has been converted from Kwh/yr into Gwh/yr.</t>
  </si>
  <si>
    <t>Annual volume of leaked drinking water x energy intensity for treating drinking water x performance factor for treating drinking water. The result has been converted from Kwh/yr into Gwh/yr.</t>
  </si>
  <si>
    <t>% of groundwater sourced x (annual volume of potable water produced - annual volume of leaked potable water) x average depth of groundwater abstraction x energy intensity for groundwater abstraction kwh/m3/m x performance factor for pumping raw water. The result has been converted from Kwh/yr into Gwh/yr.</t>
  </si>
  <si>
    <t>(annual volume of potable water produced - annual volume of leaked potable water) x energy intensity for pumping raw or drinking water x performance factor for pumping raw or drinking water. The result has been converted from Kwh/yr into Gwh/yr.</t>
  </si>
  <si>
    <t>(annual volume of potable water produced - annual volume of leaked potable water) x energy intensity for treating raw water x performance factor for treating raw  water. The result has been converted from Kwh/yr into Gwh/yr.</t>
  </si>
  <si>
    <t>Annual rainwater received by combined sewers x energy intensity for pumping and treating raw water x % of energy used in pumping raw water and drinking water. The result has been converted from Kwh/yr into Gwh/yr.</t>
  </si>
  <si>
    <t>Annual volume of domestic waste water discharged to sewer x energy intensity for pumping wastewater x performance factor for pumping wastewater. The result has been converted from Kwh/yr into Gwh/yr.</t>
  </si>
  <si>
    <t>Annual volume of domestic waste water discharged to sewer x energy intensity for treating wastewater (mean) x performance factor for treating wastewater. The result has been converted from Kwh/yr into Gwh/yr.</t>
  </si>
  <si>
    <t>Annual volume of domestic waste water discharged to sewer + annual rainwater received by combined sewers x energy intensity for pumping wastewater x performance factor for pumping wastewater. The result has been converted from Kwh/yr into Gwh/yr.</t>
  </si>
  <si>
    <t>Annual volume of domestic waste water discharged to sewer + annual rainwater received by combined sewers x energy intensity for treating wastewater (mean) x performance factor for treating wastewater. The result has been converted from Kwh/yr into Gwh/yr.</t>
  </si>
  <si>
    <t>Annual volume of domestic waste water discharged to sewer + annual rainwater received by combined sewers x energy intensity for treating wastewater (mean - the Standard Error) x performance factor for treating wastewater. The result has been converted from Kwh/yr into Gwh/yr.</t>
  </si>
  <si>
    <t>Annual volume of domestic waste water discharged to sewer + annual rainwater received by combined sewers x energy intensity for treating wastewater (mean + the Standard Error) x performance factor for treating wastewater. The result has been converted from Kwh/yr into Gwh/yr.</t>
  </si>
  <si>
    <t>Annual volume of domestic waste water discharged to sewer x energy intensity for treating wastewater (mean - the Standard Error) x performance factor for treating wastewater. The result has been converted from Kwh/yr into Gwh/yr.</t>
  </si>
  <si>
    <t>Annual volume of domestic waste water discharged to sewer x energy intensity for treating wastewater (mean + the Standard Error) x performance factor for treating wastewater. The result has been converted from Kwh/yr into Gwh/yr.</t>
  </si>
  <si>
    <t>Annual volume of industrial effluent x energy intensity for treating wastewater (mean) x performance factor for treating wastewater.  The result has been converted from Kwh/yr into Gwh/yr.</t>
  </si>
  <si>
    <t>Annual volume of industrial effluent x energy intensity for treating wastewater (mean + the Standard Error) x performance factor for treating wastewater.  The result has been converted from Kwh/yr into Gwh/yr.</t>
  </si>
  <si>
    <t>Annual volume of industrial effluent x energy intensity for treating wastewater (mean - the Standard Error) x performance factor for treating wastewater.  The result has been converted from Kwh/yr into Gwh/yr.</t>
  </si>
  <si>
    <t>This is a sum of cells D72, D73 and D76 (above)</t>
  </si>
  <si>
    <t>This is a sum of cells D72, D73 and D80 (above)</t>
  </si>
  <si>
    <r>
      <rPr>
        <sz val="10"/>
        <rFont val="Calibri"/>
        <family val="2"/>
        <scheme val="minor"/>
      </rPr>
      <t>This is the sum of Cells D74 and D82 (above)</t>
    </r>
    <r>
      <rPr>
        <sz val="10"/>
        <color rgb="FF00B050"/>
        <rFont val="Calibri"/>
        <family val="2"/>
        <scheme val="minor"/>
      </rPr>
      <t xml:space="preserve"> </t>
    </r>
  </si>
  <si>
    <r>
      <rPr>
        <sz val="10"/>
        <rFont val="Calibri"/>
        <family val="2"/>
        <scheme val="minor"/>
      </rPr>
      <t>This is the sum of Cells D69, D70 and D71 (above)</t>
    </r>
    <r>
      <rPr>
        <sz val="10"/>
        <color rgb="FF00B050"/>
        <rFont val="Calibri"/>
        <family val="2"/>
        <scheme val="minor"/>
      </rPr>
      <t xml:space="preserve"> </t>
    </r>
  </si>
  <si>
    <r>
      <rPr>
        <sz val="10"/>
        <rFont val="Calibri"/>
        <family val="2"/>
        <scheme val="minor"/>
      </rPr>
      <t>This is the sum of Cells D72, D73 and D74 (above)</t>
    </r>
    <r>
      <rPr>
        <sz val="10"/>
        <color rgb="FF00B050"/>
        <rFont val="Calibri"/>
        <family val="2"/>
        <scheme val="minor"/>
      </rPr>
      <t xml:space="preserve"> </t>
    </r>
  </si>
  <si>
    <r>
      <rPr>
        <sz val="10"/>
        <rFont val="Calibri"/>
        <family val="2"/>
        <scheme val="minor"/>
      </rPr>
      <t>This is the sum of Cells D74 and D81 (above)</t>
    </r>
    <r>
      <rPr>
        <sz val="10"/>
        <color rgb="FF00B050"/>
        <rFont val="Calibri"/>
        <family val="2"/>
        <scheme val="minor"/>
      </rPr>
      <t xml:space="preserve"> </t>
    </r>
  </si>
  <si>
    <r>
      <rPr>
        <sz val="10"/>
        <rFont val="Calibri"/>
        <family val="2"/>
        <scheme val="minor"/>
      </rPr>
      <t>This is the sum of Cells D74 and D83 (above)</t>
    </r>
    <r>
      <rPr>
        <sz val="10"/>
        <color rgb="FF00B050"/>
        <rFont val="Calibri"/>
        <family val="2"/>
        <scheme val="minor"/>
      </rPr>
      <t xml:space="preserve"> </t>
    </r>
  </si>
  <si>
    <t>The amount of energy required to heat 1 Kg of water by 1 degree C in Joules (the heat constant) is converted to the energy required to heat 1m3 by 1 degree C and this is then applied to the temperature range (the tempertature of the domestic hot water leaving the tap - the temperature of the water entering the house). This is then converted from Joules to Kwh.</t>
  </si>
  <si>
    <t>Daily Mean Domestic Hot Water consumption in litres per household, converted in m3 and then x the energy required to heat 1 m3 for the temperature range (the tempertature of the domestic hot water leaving the tap - the temperature of the water entering the house).</t>
  </si>
  <si>
    <t>The daily amount of energy required to heat Domestic Hot Water (cell D100) x 365 days x number of households serviced / performance factor for heating Domestic Hot Water. The result has been converted from Kwh/yr into Gwh/yr.</t>
  </si>
  <si>
    <t>Average daily domestic COD production (g) per person  x number of households x number of inhabitants per household, converted into Tonnes x 365 to give a result in Tonnes of COD per year.</t>
  </si>
  <si>
    <t>Average daily industrial COD produced in Kg, converted into Tonnes x 365 days to provide an annual figure</t>
  </si>
  <si>
    <t>Annual volume of domestic wastewater, rainwater and industrial effluent</t>
  </si>
  <si>
    <t>Annual m3 of rainwater entering combined sewers + annual m3 of domestic wastewater discharged to sewer +  annual m3 of industrial effluent</t>
  </si>
  <si>
    <t>Total Annual COD production (residential and industrial)</t>
  </si>
  <si>
    <t>Total annual residential COD production + total annual industrial COD production</t>
  </si>
  <si>
    <t>mg/l</t>
  </si>
  <si>
    <t>Average COD of industrial effluent</t>
  </si>
  <si>
    <t>Average COD of domestic wastewater and industrial effluent</t>
  </si>
  <si>
    <t>Average COD of domestic wastewater</t>
  </si>
  <si>
    <t xml:space="preserve">COD removal from industrial effluent to meet discharge consent </t>
  </si>
  <si>
    <t xml:space="preserve">COD removal from domestic wastewater to meet discharge consent </t>
  </si>
  <si>
    <t xml:space="preserve">COD removal from both domestic and industrial effluent to meet discharge consent </t>
  </si>
  <si>
    <t>Reduced energy demands as a result of dilution of COD (if any)</t>
  </si>
  <si>
    <t>Total domestic COD production in TonnesCOD/yr (converted into mgCOD/yr) / total volume of domestic wastewater, including rainwater received by combined sewers, converted into litres</t>
  </si>
  <si>
    <t>Total industrial COD production in TonnesCOD/yr (converted into mgCOD/yr) / total volume of industrial effluent, converted into litres</t>
  </si>
  <si>
    <t>Total domestic COD production in TonnesCOD/yr and total volume of industrial COD (converted into mgCOD/yr) / total volume of domestic wastewater, including rainwater received by combined sewers, and total volume of industrial effluent, converted into litres</t>
  </si>
  <si>
    <t>Average mgCOD/l of domestic wastewater - mgCOD/l permitted by discharge consent x total volume of domestic wastewater and rainfall received by combined sewers (m3 converted into litres) x Kwh/KGelimanatedCOD (converted into GWh)</t>
  </si>
  <si>
    <t>Average mgCOD/l of industrial effluent - mgCOD/l permitted by discharge consent x total volume of industrial effluent (m3 converted into litres) x Kwh/KGelimanatedCOD (converted into GWh)</t>
  </si>
  <si>
    <t>Average mgCOD/l of combined domestic wastewater, including rainwater, and industrial effluent - mgCOD/l permitted by discharge consent x total volume of domestic wastewater, rainfall received by combined sewers and industrial effluent (m3 converted into litres) x Kwh/KGelimanatedCOD (converted into GWh)</t>
  </si>
  <si>
    <t>Where dilution of domestic effluent occurs, due to low levels of COD in industrial effluent, then the average COD of the combined wastewater is reduced and so is the energy demands for compliance with the discharge consent COD requirements. This calculation takes the combined energy demands of domestic COD removal and industrial COD removal and deducts from the sum of those two figures the energy demands of COD removal for the combined effluent.</t>
  </si>
  <si>
    <t>Energy Intensity</t>
  </si>
  <si>
    <t>Chemical Oxygen Demand (COD)</t>
  </si>
  <si>
    <t>Final Value</t>
  </si>
  <si>
    <r>
      <t xml:space="preserve">All areas </t>
    </r>
    <r>
      <rPr>
        <b/>
        <i/>
        <sz val="11"/>
        <color rgb="FFFF0000"/>
        <rFont val="Calibri"/>
        <family val="2"/>
        <scheme val="minor"/>
      </rPr>
      <t>excluding heating of DHW, including effluent dilution</t>
    </r>
  </si>
  <si>
    <r>
      <t xml:space="preserve">All areas </t>
    </r>
    <r>
      <rPr>
        <b/>
        <i/>
        <sz val="11"/>
        <color rgb="FFFF0000"/>
        <rFont val="Calibri"/>
        <family val="2"/>
        <scheme val="minor"/>
      </rPr>
      <t xml:space="preserve">including heating of DHW, including effluent dilution </t>
    </r>
  </si>
  <si>
    <t>Treatment of all waste water (reflecting any reduced energy demands due to dilution)</t>
  </si>
  <si>
    <t>1. Control Parameters</t>
  </si>
  <si>
    <t>2. Supply</t>
  </si>
  <si>
    <t>3. Households</t>
  </si>
  <si>
    <t>4. Industry</t>
  </si>
  <si>
    <t>5. Treatment</t>
  </si>
  <si>
    <t xml:space="preserve">6. Equipment Performance </t>
  </si>
  <si>
    <t>7. Results</t>
  </si>
  <si>
    <t>ml/person/day</t>
  </si>
  <si>
    <t xml:space="preserve">This Energy Balance Assessment Tool (EBAT) has been designed to enable the user to estimate the amount of energy used and the associated resultant levels of CO2 (equivalent) produced; in the provision of drinking water to a domestic catchment and the disposal of domestic and industrial wastewater, including infiltrated rainwater, for the catchment size specified by the user.    
Copyright (C) [2015] [University of Bradford]
This program is free software; you can redistribute it and/or modify it under the terms of the GNU General Public License (version 3) as published by the Free Software Foundation.
This program is distributed in the hope that it will be useful, but WITHOUT ANY WARRANTY; without even the implied warranty of MERCHANTABILITY or FITNESS FOR A PARTICULAR PURPOSE. See the GNU General Public License for more details.
You should have received a copy of the GNU General Public License along with this program; if not, see (http://www.gnu.org/licenses).
</t>
  </si>
  <si>
    <t>the country of interest</t>
  </si>
  <si>
    <t>Cancel</t>
  </si>
  <si>
    <r>
      <t xml:space="preserve">Pumping, distributing and treating drinking water </t>
    </r>
    <r>
      <rPr>
        <sz val="8.5"/>
        <rFont val="Calibri"/>
        <family val="2"/>
      </rPr>
      <t>(if known)</t>
    </r>
  </si>
  <si>
    <t>Days</t>
  </si>
  <si>
    <t>People</t>
  </si>
  <si>
    <t>Litres per person per day</t>
  </si>
  <si>
    <t>Litres per day</t>
  </si>
  <si>
    <t>grammes</t>
  </si>
  <si>
    <t>1</t>
  </si>
  <si>
    <t>Quality Control</t>
  </si>
  <si>
    <t>2</t>
  </si>
  <si>
    <t>Final QC Check</t>
  </si>
  <si>
    <t xml:space="preserve">In order to do this you will need to use the following password 8R4df0rd For information on the devlopment of EBAT contact: r.j.pheasant2@bradford.ac.uk or s.tait@sheffield.ac.uk. Please note ongoing technical support is NOT provided.  </t>
  </si>
  <si>
    <t>3</t>
  </si>
  <si>
    <t>Password provided</t>
  </si>
  <si>
    <t>V3</t>
  </si>
  <si>
    <t>RJP</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</si>
</sst>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4" formatCode="_-&quot;£&quot;* #,##0.00_-;\-&quot;£&quot;* #,##0.00_-;_-&quot;£&quot;* &quot;-&quot;??_-;_-@_-"/>
    <numFmt numFmtId="43" formatCode="_-* #,##0.00_-;\-* #,##0.00_-;_-* &quot;-&quot;??_-;_-@_-"/>
    <numFmt numFmtId="164" formatCode="0.0"/>
    <numFmt numFmtId="165" formatCode="[$-F800]dddd\,\ mmmm\ dd\,\ yyyy"/>
    <numFmt numFmtId="166" formatCode="&quot;£&quot;#,##0.00;\(&quot;£&quot;#,##0.00\)"/>
    <numFmt numFmtId="167" formatCode="General;[Red]\ \-General"/>
    <numFmt numFmtId="168" formatCode="d\-mmm\-yyyy"/>
    <numFmt numFmtId="169" formatCode="0.0000"/>
    <numFmt numFmtId="170" formatCode="#\ ###\ ###\ ###\ ##0.00"/>
    <numFmt numFmtId="171" formatCode="0.00%;\(0.00%\)"/>
    <numFmt numFmtId="172" formatCode="_-* #,##0_-;\-* #,##0_-;_-* &quot;-&quot;??_-;_-@_-"/>
    <numFmt numFmtId="173" formatCode="_-* #,##0.000_-;\-* #,##0.000_-;_-* &quot;-&quot;??_-;_-@_-"/>
    <numFmt numFmtId="174" formatCode="0.0%"/>
    <numFmt numFmtId="175" formatCode="0.000"/>
    <numFmt numFmtId="176" formatCode="0.0%;[Red]\-0.0%;&quot;0%&quot;"/>
    <numFmt numFmtId="177" formatCode="General;[Red]\-General;0"/>
    <numFmt numFmtId="178" formatCode="_-* #,##0.0000_-;\-* #,##0.0000_-;_-* &quot;-&quot;??_-;_-@_-"/>
    <numFmt numFmtId="179" formatCode="_-* #,##0.00000000_-;\-* #,##0.00000000_-;_-* &quot;-&quot;??_-;_-@_-"/>
    <numFmt numFmtId="180" formatCode="General;General;&quot;&quot;"/>
    <numFmt numFmtId="181" formatCode="#,##0.0000000000_ ;[Red]\-#,##0.0000000000\ "/>
  </numFmts>
  <fonts count="51" x14ac:knownFonts="1">
    <font>
      <sz val="10"/>
      <color theme="1"/>
      <name val="Calibri"/>
      <family val="2"/>
      <scheme val="minor"/>
    </font>
    <font>
      <sz val="11"/>
      <color theme="1"/>
      <name val="Calibri"/>
      <family val="2"/>
      <scheme val="minor"/>
    </font>
    <font>
      <sz val="10"/>
      <name val="Arial"/>
      <family val="2"/>
    </font>
    <font>
      <sz val="10"/>
      <name val="Calibri"/>
      <family val="2"/>
      <scheme val="minor"/>
    </font>
    <font>
      <sz val="10"/>
      <color theme="1"/>
      <name val="Calibri"/>
      <family val="2"/>
      <scheme val="minor"/>
    </font>
    <font>
      <b/>
      <sz val="10"/>
      <color rgb="FF00CC00"/>
      <name val="Calibri"/>
      <family val="2"/>
      <scheme val="minor"/>
    </font>
    <font>
      <sz val="11"/>
      <name val="Arial"/>
      <family val="2"/>
    </font>
    <font>
      <i/>
      <sz val="10"/>
      <color theme="4"/>
      <name val="Calibri"/>
      <family val="2"/>
      <scheme val="minor"/>
    </font>
    <font>
      <sz val="10"/>
      <color theme="0"/>
      <name val="Calibri"/>
      <family val="2"/>
      <scheme val="minor"/>
    </font>
    <font>
      <i/>
      <sz val="10"/>
      <color theme="7"/>
      <name val="Calibri"/>
      <family val="2"/>
      <scheme val="minor"/>
    </font>
    <font>
      <b/>
      <sz val="10"/>
      <color rgb="FFFF0000"/>
      <name val="Calibri"/>
      <family val="2"/>
      <scheme val="minor"/>
    </font>
    <font>
      <b/>
      <sz val="11"/>
      <color theme="0"/>
      <name val="Arial"/>
      <family val="2"/>
    </font>
    <font>
      <sz val="11"/>
      <color theme="0"/>
      <name val="Arial"/>
      <family val="2"/>
    </font>
    <font>
      <sz val="10"/>
      <color theme="0" tint="-0.34998626667073579"/>
      <name val="Calibri"/>
      <family val="2"/>
      <scheme val="minor"/>
    </font>
    <font>
      <b/>
      <sz val="10"/>
      <color theme="1"/>
      <name val="Calibri"/>
      <family val="2"/>
      <scheme val="minor"/>
    </font>
    <font>
      <sz val="10"/>
      <color theme="0" tint="-0.499984740745262"/>
      <name val="Calibri"/>
      <family val="2"/>
      <scheme val="minor"/>
    </font>
    <font>
      <sz val="11"/>
      <color theme="0" tint="-0.34998626667073579"/>
      <name val="Calibri"/>
      <family val="2"/>
      <scheme val="minor"/>
    </font>
    <font>
      <b/>
      <sz val="10"/>
      <color theme="0" tint="-0.34998626667073579"/>
      <name val="Calibri"/>
      <family val="2"/>
      <scheme val="minor"/>
    </font>
    <font>
      <sz val="10"/>
      <color rgb="FF000000"/>
      <name val="Arial"/>
      <family val="2"/>
    </font>
    <font>
      <b/>
      <sz val="9"/>
      <color indexed="81"/>
      <name val="Tahoma"/>
      <family val="2"/>
    </font>
    <font>
      <sz val="9"/>
      <color indexed="81"/>
      <name val="Tahoma"/>
      <family val="2"/>
    </font>
    <font>
      <sz val="11"/>
      <color theme="4"/>
      <name val="Arial"/>
      <family val="2"/>
    </font>
    <font>
      <u/>
      <sz val="10"/>
      <color theme="10"/>
      <name val="Calibri"/>
      <family val="2"/>
    </font>
    <font>
      <i/>
      <sz val="10"/>
      <color theme="9"/>
      <name val="Calibri"/>
      <family val="2"/>
      <scheme val="minor"/>
    </font>
    <font>
      <b/>
      <sz val="10"/>
      <color theme="0"/>
      <name val="Calibri"/>
      <family val="2"/>
      <scheme val="minor"/>
    </font>
    <font>
      <sz val="10"/>
      <color theme="6" tint="-0.24994659260841701"/>
      <name val="Calibri"/>
      <family val="2"/>
      <scheme val="minor"/>
    </font>
    <font>
      <b/>
      <u/>
      <sz val="12"/>
      <color theme="6" tint="-0.24994659260841701"/>
      <name val="Calibri"/>
      <family val="2"/>
      <scheme val="minor"/>
    </font>
    <font>
      <b/>
      <i/>
      <sz val="11"/>
      <color theme="6" tint="-0.24994659260841701"/>
      <name val="Calibri"/>
      <family val="2"/>
      <scheme val="minor"/>
    </font>
    <font>
      <b/>
      <i/>
      <sz val="10"/>
      <color rgb="FFFF0000"/>
      <name val="Calibri"/>
      <family val="2"/>
      <scheme val="minor"/>
    </font>
    <font>
      <b/>
      <i/>
      <sz val="10"/>
      <color theme="9"/>
      <name val="Calibri"/>
      <family val="2"/>
      <scheme val="minor"/>
    </font>
    <font>
      <u/>
      <sz val="11"/>
      <color theme="10"/>
      <name val="Calibri"/>
      <family val="2"/>
      <scheme val="minor"/>
    </font>
    <font>
      <vertAlign val="superscript"/>
      <sz val="10"/>
      <color theme="1"/>
      <name val="Calibri"/>
      <family val="2"/>
      <scheme val="minor"/>
    </font>
    <font>
      <i/>
      <sz val="10"/>
      <color rgb="FFFF0000"/>
      <name val="Calibri"/>
      <family val="2"/>
      <scheme val="minor"/>
    </font>
    <font>
      <sz val="10"/>
      <color rgb="FFFF0000"/>
      <name val="Calibri"/>
      <family val="2"/>
      <scheme val="minor"/>
    </font>
    <font>
      <vertAlign val="subscript"/>
      <sz val="10"/>
      <color theme="1"/>
      <name val="Calibri"/>
      <family val="2"/>
      <scheme val="minor"/>
    </font>
    <font>
      <sz val="10"/>
      <color rgb="FF00B050"/>
      <name val="Calibri"/>
      <family val="2"/>
      <scheme val="minor"/>
    </font>
    <font>
      <i/>
      <sz val="10"/>
      <color rgb="FF00B050"/>
      <name val="Calibri"/>
      <family val="2"/>
      <scheme val="minor"/>
    </font>
    <font>
      <b/>
      <i/>
      <sz val="11"/>
      <color rgb="FFFF0000"/>
      <name val="Calibri"/>
      <family val="2"/>
      <scheme val="minor"/>
    </font>
    <font>
      <i/>
      <sz val="10"/>
      <name val="Calibri"/>
      <family val="2"/>
      <scheme val="minor"/>
    </font>
    <font>
      <b/>
      <sz val="10"/>
      <name val="Calibri"/>
      <family val="2"/>
      <scheme val="minor"/>
    </font>
    <font>
      <sz val="8"/>
      <name val="Calibri"/>
      <family val="2"/>
      <scheme val="minor"/>
    </font>
    <font>
      <b/>
      <i/>
      <sz val="10"/>
      <color theme="1"/>
      <name val="Calibri"/>
      <family val="2"/>
      <scheme val="minor"/>
    </font>
    <font>
      <b/>
      <i/>
      <sz val="10"/>
      <name val="Calibri"/>
      <family val="2"/>
      <scheme val="minor"/>
    </font>
    <font>
      <sz val="10"/>
      <color theme="0" tint="-0.249977111117893"/>
      <name val="Calibri"/>
      <family val="2"/>
      <scheme val="minor"/>
    </font>
    <font>
      <sz val="11"/>
      <name val="Calibri"/>
      <family val="2"/>
      <scheme val="minor"/>
    </font>
    <font>
      <b/>
      <i/>
      <sz val="11"/>
      <name val="Calibri"/>
      <family val="2"/>
      <scheme val="minor"/>
    </font>
    <font>
      <b/>
      <i/>
      <vertAlign val="subscript"/>
      <sz val="11"/>
      <name val="Calibri"/>
      <family val="2"/>
      <scheme val="minor"/>
    </font>
    <font>
      <b/>
      <i/>
      <sz val="10"/>
      <color theme="6" tint="-0.24994659260841701"/>
      <name val="Calibri"/>
      <family val="2"/>
      <scheme val="minor"/>
    </font>
    <font>
      <sz val="11"/>
      <color rgb="FF9C6500"/>
      <name val="Calibri"/>
      <family val="2"/>
      <scheme val="minor"/>
    </font>
    <font>
      <sz val="10"/>
      <color theme="9"/>
      <name val="Calibri"/>
      <family val="2"/>
      <scheme val="minor"/>
    </font>
    <font>
      <sz val="8.5"/>
      <name val="Calibri"/>
      <family val="2"/>
    </font>
  </fonts>
  <fills count="25">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0" tint="-0.14996795556505021"/>
        <bgColor indexed="64"/>
      </patternFill>
    </fill>
    <fill>
      <patternFill patternType="solid">
        <fgColor theme="1"/>
        <bgColor indexed="64"/>
      </patternFill>
    </fill>
    <fill>
      <patternFill patternType="solid">
        <fgColor theme="1" tint="0.499984740745262"/>
        <bgColor indexed="64"/>
      </patternFill>
    </fill>
    <fill>
      <patternFill patternType="solid">
        <fgColor theme="8"/>
        <bgColor indexed="64"/>
      </patternFill>
    </fill>
    <fill>
      <patternFill patternType="solid">
        <fgColor theme="4"/>
        <bgColor indexed="64"/>
      </patternFill>
    </fill>
    <fill>
      <patternFill patternType="solid">
        <fgColor theme="5"/>
        <bgColor indexed="64"/>
      </patternFill>
    </fill>
    <fill>
      <patternFill patternType="solid">
        <fgColor theme="0" tint="-0.14999847407452621"/>
        <bgColor indexed="64"/>
      </patternFill>
    </fill>
    <fill>
      <patternFill patternType="solid">
        <fgColor theme="7"/>
        <bgColor indexed="64"/>
      </patternFill>
    </fill>
    <fill>
      <patternFill patternType="solid">
        <fgColor rgb="FF92D050"/>
        <bgColor indexed="64"/>
      </patternFill>
    </fill>
    <fill>
      <patternFill patternType="solid">
        <fgColor rgb="FF00B0F0"/>
        <bgColor indexed="64"/>
      </patternFill>
    </fill>
    <fill>
      <patternFill patternType="solid">
        <fgColor rgb="FF002060"/>
        <bgColor indexed="64"/>
      </patternFill>
    </fill>
    <fill>
      <patternFill patternType="solid">
        <fgColor rgb="FFFFFFCC"/>
      </patternFill>
    </fill>
    <fill>
      <patternFill patternType="solid">
        <fgColor theme="4"/>
      </patternFill>
    </fill>
    <fill>
      <patternFill patternType="solid">
        <fgColor theme="8"/>
      </patternFill>
    </fill>
    <fill>
      <patternFill patternType="solid">
        <fgColor theme="9"/>
      </patternFill>
    </fill>
    <fill>
      <patternFill patternType="solid">
        <fgColor theme="7" tint="0.79998168889431442"/>
        <bgColor indexed="64"/>
      </patternFill>
    </fill>
    <fill>
      <patternFill patternType="solid">
        <fgColor rgb="FF7030A0"/>
        <bgColor indexed="64"/>
      </patternFill>
    </fill>
    <fill>
      <patternFill patternType="solid">
        <fgColor rgb="FFFFFF00"/>
        <bgColor indexed="64"/>
      </patternFill>
    </fill>
    <fill>
      <patternFill patternType="solid">
        <fgColor rgb="FFFFFFCC"/>
        <bgColor indexed="64"/>
      </patternFill>
    </fill>
    <fill>
      <patternFill patternType="solid">
        <fgColor rgb="FFCCFFCC"/>
        <bgColor indexed="64"/>
      </patternFill>
    </fill>
    <fill>
      <patternFill patternType="solid">
        <fgColor rgb="FFFFEB9C"/>
      </patternFill>
    </fill>
  </fills>
  <borders count="6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medium">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right style="medium">
        <color indexed="64"/>
      </right>
      <top/>
      <bottom/>
      <diagonal/>
    </border>
    <border>
      <left style="thin">
        <color theme="0" tint="-0.14996795556505021"/>
      </left>
      <right/>
      <top/>
      <bottom/>
      <diagonal/>
    </border>
    <border>
      <left/>
      <right style="thin">
        <color theme="0" tint="-0.14996795556505021"/>
      </right>
      <top/>
      <bottom/>
      <diagonal/>
    </border>
    <border>
      <left style="thin">
        <color theme="0" tint="-0.14993743705557422"/>
      </left>
      <right/>
      <top style="thin">
        <color theme="0" tint="-0.14993743705557422"/>
      </top>
      <bottom/>
      <diagonal/>
    </border>
    <border>
      <left/>
      <right/>
      <top style="thin">
        <color theme="0" tint="-0.14993743705557422"/>
      </top>
      <bottom/>
      <diagonal/>
    </border>
    <border>
      <left/>
      <right style="thin">
        <color theme="0" tint="-0.14993743705557422"/>
      </right>
      <top style="thin">
        <color theme="0" tint="-0.14993743705557422"/>
      </top>
      <bottom/>
      <diagonal/>
    </border>
    <border>
      <left style="thin">
        <color theme="0" tint="-0.14993743705557422"/>
      </left>
      <right/>
      <top/>
      <bottom style="thin">
        <color theme="0" tint="-0.14993743705557422"/>
      </bottom>
      <diagonal/>
    </border>
    <border>
      <left/>
      <right/>
      <top/>
      <bottom style="thin">
        <color theme="0" tint="-0.14993743705557422"/>
      </bottom>
      <diagonal/>
    </border>
    <border>
      <left/>
      <right style="thin">
        <color theme="0" tint="-0.14993743705557422"/>
      </right>
      <top/>
      <bottom style="thin">
        <color theme="0" tint="-0.14993743705557422"/>
      </bottom>
      <diagonal/>
    </border>
    <border>
      <left style="medium">
        <color indexed="64"/>
      </left>
      <right/>
      <top/>
      <bottom style="medium">
        <color indexed="64"/>
      </bottom>
      <diagonal/>
    </border>
    <border>
      <left/>
      <right/>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double">
        <color indexed="57"/>
      </left>
      <right style="double">
        <color indexed="57"/>
      </right>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diagonal/>
    </border>
    <border>
      <left/>
      <right style="thin">
        <color indexed="64"/>
      </right>
      <top/>
      <bottom style="thin">
        <color indexed="64"/>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top style="thin">
        <color theme="0" tint="-0.24994659260841701"/>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indexed="64"/>
      </top>
      <bottom/>
      <diagonal/>
    </border>
    <border>
      <left style="thin">
        <color theme="0" tint="-0.24994659260841701"/>
      </left>
      <right style="thin">
        <color theme="0" tint="-0.24994659260841701"/>
      </right>
      <top/>
      <bottom style="thin">
        <color theme="0" tint="-0.24994659260841701"/>
      </bottom>
      <diagonal/>
    </border>
    <border>
      <left style="thin">
        <color theme="0" tint="-0.14996795556505021"/>
      </left>
      <right style="thin">
        <color theme="0" tint="-0.14993743705557422"/>
      </right>
      <top style="thin">
        <color theme="0" tint="-0.14996795556505021"/>
      </top>
      <bottom style="thin">
        <color theme="0" tint="-0.14996795556505021"/>
      </bottom>
      <diagonal/>
    </border>
    <border>
      <left style="thin">
        <color rgb="FF7F7F7F"/>
      </left>
      <right style="thin">
        <color rgb="FF7F7F7F"/>
      </right>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theme="0" tint="-0.24994659260841701"/>
      </left>
      <right/>
      <top/>
      <bottom style="thin">
        <color indexed="64"/>
      </bottom>
      <diagonal/>
    </border>
    <border>
      <left/>
      <right style="thin">
        <color theme="0" tint="-0.24994659260841701"/>
      </right>
      <top/>
      <bottom style="thin">
        <color indexed="64"/>
      </bottom>
      <diagonal/>
    </border>
    <border>
      <left/>
      <right style="thin">
        <color theme="0" tint="-0.24994659260841701"/>
      </right>
      <top style="thin">
        <color indexed="64"/>
      </top>
      <bottom/>
      <diagonal/>
    </border>
    <border>
      <left style="thin">
        <color theme="0" tint="-0.14996795556505021"/>
      </left>
      <right/>
      <top/>
      <bottom style="thin">
        <color theme="0" tint="-0.14993743705557422"/>
      </bottom>
      <diagonal/>
    </border>
    <border>
      <left/>
      <right style="thin">
        <color theme="0" tint="-0.14996795556505021"/>
      </right>
      <top/>
      <bottom style="thin">
        <color theme="0" tint="-0.14993743705557422"/>
      </bottom>
      <diagonal/>
    </border>
    <border>
      <left style="mediumDashDot">
        <color theme="8"/>
      </left>
      <right/>
      <top style="mediumDashDot">
        <color theme="8"/>
      </top>
      <bottom/>
      <diagonal/>
    </border>
    <border>
      <left/>
      <right/>
      <top style="mediumDashDot">
        <color theme="8"/>
      </top>
      <bottom/>
      <diagonal/>
    </border>
    <border>
      <left/>
      <right style="mediumDashDot">
        <color theme="8"/>
      </right>
      <top style="mediumDashDot">
        <color theme="8"/>
      </top>
      <bottom/>
      <diagonal/>
    </border>
    <border>
      <left style="mediumDashDot">
        <color theme="8"/>
      </left>
      <right/>
      <top/>
      <bottom/>
      <diagonal/>
    </border>
    <border>
      <left/>
      <right style="mediumDashDot">
        <color theme="8"/>
      </right>
      <top/>
      <bottom/>
      <diagonal/>
    </border>
    <border>
      <left style="mediumDashDot">
        <color theme="8"/>
      </left>
      <right/>
      <top/>
      <bottom style="mediumDashDot">
        <color theme="8"/>
      </bottom>
      <diagonal/>
    </border>
    <border>
      <left/>
      <right/>
      <top/>
      <bottom style="mediumDashDot">
        <color theme="8"/>
      </bottom>
      <diagonal/>
    </border>
    <border>
      <left/>
      <right style="mediumDashDot">
        <color theme="8"/>
      </right>
      <top/>
      <bottom style="mediumDashDot">
        <color theme="8"/>
      </bottom>
      <diagonal/>
    </border>
    <border>
      <left style="thin">
        <color rgb="FF7F7F7F"/>
      </left>
      <right style="thin">
        <color rgb="FF7F7F7F"/>
      </right>
      <top style="thin">
        <color rgb="FF7F7F7F"/>
      </top>
      <bottom style="thin">
        <color indexed="64"/>
      </bottom>
      <diagonal/>
    </border>
    <border>
      <left/>
      <right style="thin">
        <color rgb="FF7F7F7F"/>
      </right>
      <top/>
      <bottom/>
      <diagonal/>
    </border>
    <border>
      <left style="thin">
        <color rgb="FF7F7F7F"/>
      </left>
      <right style="thin">
        <color rgb="FF7F7F7F"/>
      </right>
      <top style="thin">
        <color rgb="FF7F7F7F"/>
      </top>
      <bottom/>
      <diagonal/>
    </border>
    <border>
      <left/>
      <right/>
      <top/>
      <bottom style="thin">
        <color theme="0"/>
      </bottom>
      <diagonal/>
    </border>
    <border>
      <left/>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
      <left style="thin">
        <color rgb="FF7F7F7F"/>
      </left>
      <right style="thin">
        <color rgb="FF7F7F7F"/>
      </right>
      <top/>
      <bottom/>
      <diagonal/>
    </border>
  </borders>
  <cellStyleXfs count="37">
    <xf numFmtId="0" fontId="0" fillId="0" borderId="0">
      <alignment vertical="center"/>
    </xf>
    <xf numFmtId="0" fontId="22" fillId="0" borderId="0" applyNumberFormat="0" applyFill="0" applyBorder="0" applyAlignment="0" applyProtection="0">
      <alignment vertical="top"/>
      <protection locked="0"/>
    </xf>
    <xf numFmtId="0" fontId="5" fillId="2" borderId="0" applyNumberFormat="0" applyBorder="0"/>
    <xf numFmtId="0" fontId="4" fillId="4" borderId="0"/>
    <xf numFmtId="0" fontId="4" fillId="4" borderId="27" applyNumberFormat="0" applyFont="0" applyAlignment="0">
      <protection hidden="1"/>
    </xf>
    <xf numFmtId="166" fontId="2" fillId="0" borderId="0" applyFill="0" applyBorder="0"/>
    <xf numFmtId="168" fontId="2" fillId="0" borderId="0" applyFill="0" applyBorder="0"/>
    <xf numFmtId="2" fontId="2" fillId="0" borderId="0" applyFill="0" applyBorder="0">
      <alignment horizontal="right"/>
    </xf>
    <xf numFmtId="169" fontId="2" fillId="0" borderId="0" applyFill="0" applyBorder="0">
      <alignment horizontal="right"/>
    </xf>
    <xf numFmtId="170" fontId="2" fillId="0" borderId="28" applyFill="0" applyBorder="0"/>
    <xf numFmtId="171" fontId="2" fillId="0" borderId="0" applyFill="0" applyBorder="0"/>
    <xf numFmtId="0" fontId="9" fillId="4" borderId="0" applyNumberFormat="0" applyFill="0" applyBorder="0" applyAlignment="0"/>
    <xf numFmtId="0" fontId="13" fillId="4" borderId="27">
      <alignment horizontal="center"/>
    </xf>
    <xf numFmtId="0" fontId="3" fillId="9" borderId="27" applyNumberFormat="0" applyAlignment="0">
      <protection locked="0"/>
    </xf>
    <xf numFmtId="0" fontId="24" fillId="7" borderId="27" applyNumberFormat="0" applyAlignment="0" applyProtection="0"/>
    <xf numFmtId="0" fontId="3" fillId="11" borderId="40" applyNumberFormat="0" applyAlignment="0"/>
    <xf numFmtId="0" fontId="3" fillId="19" borderId="0" applyNumberFormat="0" applyBorder="0" applyAlignment="0" applyProtection="0"/>
    <xf numFmtId="0" fontId="25" fillId="0" borderId="0" applyNumberFormat="0" applyBorder="0" applyAlignment="0" applyProtection="0"/>
    <xf numFmtId="0" fontId="10" fillId="8" borderId="0" applyNumberFormat="0" applyBorder="0" applyAlignment="0" applyProtection="0"/>
    <xf numFmtId="0" fontId="4" fillId="15" borderId="41" applyNumberFormat="0" applyAlignment="0" applyProtection="0"/>
    <xf numFmtId="0" fontId="23" fillId="0" borderId="0" applyNumberFormat="0" applyFill="0" applyBorder="0" applyAlignment="0"/>
    <xf numFmtId="0" fontId="3"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3" fillId="3" borderId="27" applyNumberFormat="0" applyBorder="0" applyAlignment="0">
      <alignment horizontal="right"/>
      <protection locked="0"/>
    </xf>
    <xf numFmtId="0" fontId="3" fillId="8" borderId="27" applyNumberFormat="0" applyAlignment="0">
      <alignment vertical="center"/>
    </xf>
    <xf numFmtId="0" fontId="7" fillId="0" borderId="0" applyNumberFormat="0" applyFill="0" applyBorder="0" applyAlignment="0"/>
    <xf numFmtId="9" fontId="4" fillId="0" borderId="0" applyFont="0" applyFill="0" applyBorder="0" applyAlignment="0" applyProtection="0"/>
    <xf numFmtId="0" fontId="1" fillId="0" borderId="0"/>
    <xf numFmtId="0" fontId="30"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4" fillId="0" borderId="0" applyFont="0" applyFill="0" applyBorder="0" applyAlignment="0" applyProtection="0"/>
    <xf numFmtId="0" fontId="48" fillId="24" borderId="0" applyNumberFormat="0" applyBorder="0" applyAlignment="0" applyProtection="0"/>
    <xf numFmtId="44" fontId="4" fillId="0" borderId="0" applyFont="0" applyFill="0" applyBorder="0" applyAlignment="0" applyProtection="0"/>
  </cellStyleXfs>
  <cellXfs count="573">
    <xf numFmtId="0" fontId="0" fillId="0" borderId="0" xfId="0">
      <alignment vertical="center"/>
    </xf>
    <xf numFmtId="0" fontId="4" fillId="4" borderId="0" xfId="3" applyProtection="1">
      <protection hidden="1"/>
    </xf>
    <xf numFmtId="0" fontId="0" fillId="2" borderId="9" xfId="0" applyFill="1" applyBorder="1" applyProtection="1">
      <alignment vertical="center"/>
      <protection hidden="1"/>
    </xf>
    <xf numFmtId="0" fontId="0" fillId="2" borderId="10" xfId="0" applyFill="1" applyBorder="1" applyProtection="1">
      <alignment vertical="center"/>
      <protection hidden="1"/>
    </xf>
    <xf numFmtId="0" fontId="0" fillId="2" borderId="11" xfId="0" applyFill="1" applyBorder="1" applyProtection="1">
      <alignment vertical="center"/>
      <protection hidden="1"/>
    </xf>
    <xf numFmtId="0" fontId="0" fillId="2" borderId="12" xfId="0" applyFill="1" applyBorder="1" applyProtection="1">
      <alignment vertical="center"/>
      <protection hidden="1"/>
    </xf>
    <xf numFmtId="0" fontId="0" fillId="2" borderId="0" xfId="0" applyFill="1" applyBorder="1" applyProtection="1">
      <alignment vertical="center"/>
      <protection hidden="1"/>
    </xf>
    <xf numFmtId="0" fontId="0" fillId="2" borderId="16" xfId="0" applyFill="1" applyBorder="1" applyProtection="1">
      <alignment vertical="center"/>
      <protection hidden="1"/>
    </xf>
    <xf numFmtId="0" fontId="0" fillId="2" borderId="25" xfId="0" applyFill="1" applyBorder="1" applyProtection="1">
      <alignment vertical="center"/>
      <protection hidden="1"/>
    </xf>
    <xf numFmtId="0" fontId="0" fillId="2" borderId="26" xfId="0" applyFill="1" applyBorder="1" applyProtection="1">
      <alignment vertical="center"/>
      <protection hidden="1"/>
    </xf>
    <xf numFmtId="0" fontId="0" fillId="2" borderId="7" xfId="0" applyFill="1" applyBorder="1" applyProtection="1">
      <alignment vertical="center"/>
      <protection hidden="1"/>
    </xf>
    <xf numFmtId="0" fontId="11" fillId="5" borderId="0" xfId="0" applyNumberFormat="1" applyFont="1" applyFill="1" applyAlignment="1">
      <alignment horizontal="center"/>
    </xf>
    <xf numFmtId="0" fontId="6" fillId="5" borderId="0" xfId="0" applyNumberFormat="1" applyFont="1" applyFill="1">
      <alignment vertical="center"/>
    </xf>
    <xf numFmtId="0" fontId="11" fillId="5" borderId="0" xfId="0" applyNumberFormat="1" applyFont="1" applyFill="1" applyAlignment="1">
      <alignment horizontal="left"/>
    </xf>
    <xf numFmtId="0" fontId="12" fillId="5" borderId="0" xfId="0" applyNumberFormat="1" applyFont="1" applyFill="1" applyAlignment="1">
      <alignment horizontal="center"/>
    </xf>
    <xf numFmtId="0" fontId="6" fillId="5" borderId="0" xfId="0" applyNumberFormat="1" applyFont="1" applyFill="1" applyAlignment="1">
      <alignment horizontal="center"/>
    </xf>
    <xf numFmtId="0" fontId="12" fillId="5" borderId="0" xfId="0" applyNumberFormat="1" applyFont="1" applyFill="1">
      <alignment vertical="center"/>
    </xf>
    <xf numFmtId="0" fontId="6" fillId="5" borderId="0" xfId="0" applyFont="1" applyFill="1">
      <alignment vertical="center"/>
    </xf>
    <xf numFmtId="0" fontId="4" fillId="4" borderId="0" xfId="3"/>
    <xf numFmtId="0" fontId="0" fillId="2" borderId="9" xfId="0" applyFill="1" applyBorder="1">
      <alignment vertical="center"/>
    </xf>
    <xf numFmtId="0" fontId="4" fillId="2" borderId="10" xfId="3" applyFill="1" applyBorder="1"/>
    <xf numFmtId="0" fontId="4" fillId="2" borderId="11" xfId="3" applyFill="1" applyBorder="1"/>
    <xf numFmtId="0" fontId="4" fillId="2" borderId="9" xfId="3" applyFill="1" applyBorder="1"/>
    <xf numFmtId="0" fontId="4" fillId="2" borderId="12" xfId="3" applyFill="1" applyBorder="1"/>
    <xf numFmtId="0" fontId="4" fillId="2" borderId="0" xfId="3" applyFill="1" applyBorder="1"/>
    <xf numFmtId="0" fontId="4" fillId="2" borderId="16" xfId="3" applyFill="1" applyBorder="1"/>
    <xf numFmtId="0" fontId="4" fillId="2" borderId="25" xfId="3" applyFill="1" applyBorder="1"/>
    <xf numFmtId="0" fontId="4" fillId="2" borderId="26" xfId="3" applyFill="1" applyBorder="1"/>
    <xf numFmtId="0" fontId="4" fillId="2" borderId="7" xfId="3" applyFill="1" applyBorder="1"/>
    <xf numFmtId="0" fontId="14" fillId="0" borderId="0" xfId="0" applyNumberFormat="1" applyFont="1" applyAlignment="1">
      <alignment horizontal="right"/>
    </xf>
    <xf numFmtId="0" fontId="14" fillId="0" borderId="4" xfId="0" applyNumberFormat="1" applyFont="1" applyBorder="1" applyAlignment="1">
      <alignment horizontal="center"/>
    </xf>
    <xf numFmtId="0" fontId="4" fillId="0" borderId="0" xfId="0" applyFont="1">
      <alignment vertical="center"/>
    </xf>
    <xf numFmtId="0" fontId="4" fillId="0" borderId="0" xfId="0" applyFont="1" applyAlignment="1">
      <alignment horizontal="left"/>
    </xf>
    <xf numFmtId="0" fontId="7" fillId="0" borderId="6" xfId="0" applyNumberFormat="1" applyFont="1" applyBorder="1" applyAlignment="1">
      <alignment horizontal="left"/>
    </xf>
    <xf numFmtId="167" fontId="13" fillId="4" borderId="27" xfId="12" applyNumberFormat="1" applyFont="1" applyAlignment="1">
      <alignment horizontal="center"/>
    </xf>
    <xf numFmtId="0" fontId="14" fillId="0" borderId="6" xfId="0" applyFont="1" applyBorder="1" applyAlignment="1">
      <alignment horizontal="centerContinuous"/>
    </xf>
    <xf numFmtId="0" fontId="4" fillId="0" borderId="8" xfId="0" applyFont="1" applyBorder="1" applyAlignment="1">
      <alignment horizontal="centerContinuous"/>
    </xf>
    <xf numFmtId="0" fontId="4" fillId="0" borderId="0" xfId="0" applyFont="1" applyBorder="1" applyAlignment="1">
      <alignment horizontal="centerContinuous"/>
    </xf>
    <xf numFmtId="0" fontId="14" fillId="0" borderId="0" xfId="0" applyFont="1" applyAlignment="1">
      <alignment horizontal="centerContinuous"/>
    </xf>
    <xf numFmtId="0" fontId="4" fillId="0" borderId="0" xfId="0" applyFont="1" applyAlignment="1">
      <alignment horizontal="centerContinuous"/>
    </xf>
    <xf numFmtId="0" fontId="4" fillId="0" borderId="6" xfId="0" applyFont="1" applyBorder="1" applyAlignment="1">
      <alignment horizontal="centerContinuous"/>
    </xf>
    <xf numFmtId="0" fontId="14" fillId="0" borderId="0" xfId="0" applyFont="1" applyBorder="1" applyAlignment="1">
      <alignment horizontal="centerContinuous"/>
    </xf>
    <xf numFmtId="0" fontId="17" fillId="4" borderId="39" xfId="12" applyFont="1" applyBorder="1" applyAlignment="1">
      <alignment horizontal="left"/>
    </xf>
    <xf numFmtId="0" fontId="14" fillId="0" borderId="5" xfId="0" applyNumberFormat="1" applyFont="1" applyBorder="1" applyAlignment="1">
      <alignment horizontal="center"/>
    </xf>
    <xf numFmtId="0" fontId="14" fillId="0" borderId="31" xfId="0" applyNumberFormat="1" applyFont="1" applyBorder="1" applyAlignment="1">
      <alignment horizontal="center"/>
    </xf>
    <xf numFmtId="0" fontId="9" fillId="0" borderId="4" xfId="0" applyNumberFormat="1" applyFont="1" applyBorder="1" applyAlignment="1">
      <alignment horizontal="left"/>
    </xf>
    <xf numFmtId="0" fontId="4" fillId="0" borderId="4" xfId="0" applyFont="1" applyBorder="1">
      <alignment vertical="center"/>
    </xf>
    <xf numFmtId="0" fontId="13" fillId="4" borderId="36" xfId="12" applyFont="1" applyBorder="1" applyAlignment="1">
      <alignment horizontal="left"/>
    </xf>
    <xf numFmtId="0" fontId="4" fillId="0" borderId="6" xfId="0" applyNumberFormat="1" applyFont="1" applyBorder="1" applyAlignment="1">
      <alignment horizontal="center"/>
    </xf>
    <xf numFmtId="0" fontId="4" fillId="0" borderId="0" xfId="0" applyNumberFormat="1" applyFont="1" applyAlignment="1">
      <alignment horizontal="center"/>
    </xf>
    <xf numFmtId="0" fontId="4" fillId="0" borderId="8" xfId="0" applyFont="1" applyBorder="1">
      <alignment vertical="center"/>
    </xf>
    <xf numFmtId="0" fontId="4" fillId="0" borderId="0" xfId="0" applyFont="1" applyBorder="1" applyAlignment="1">
      <alignment horizontal="left"/>
    </xf>
    <xf numFmtId="0" fontId="13" fillId="4" borderId="29" xfId="12" applyFont="1" applyBorder="1" applyAlignment="1">
      <alignment horizontal="left"/>
    </xf>
    <xf numFmtId="0" fontId="4" fillId="0" borderId="0" xfId="0" applyFont="1" applyAlignment="1">
      <alignment horizontal="center"/>
    </xf>
    <xf numFmtId="0" fontId="4" fillId="0" borderId="0" xfId="0" applyNumberFormat="1" applyFont="1">
      <alignment vertical="center"/>
    </xf>
    <xf numFmtId="0" fontId="14" fillId="0" borderId="0" xfId="0" applyFont="1">
      <alignment vertical="center"/>
    </xf>
    <xf numFmtId="0" fontId="4" fillId="0" borderId="2" xfId="0" applyNumberFormat="1" applyFont="1" applyBorder="1" applyAlignment="1">
      <alignment horizontal="center"/>
    </xf>
    <xf numFmtId="0" fontId="4" fillId="0" borderId="2" xfId="0" applyNumberFormat="1" applyFont="1" applyBorder="1">
      <alignment vertical="center"/>
    </xf>
    <xf numFmtId="0" fontId="4" fillId="0" borderId="0" xfId="0" applyFont="1" applyAlignment="1">
      <alignment horizontal="center" vertical="top"/>
    </xf>
    <xf numFmtId="0" fontId="4" fillId="0" borderId="6" xfId="0" applyFont="1" applyBorder="1">
      <alignment vertical="center"/>
    </xf>
    <xf numFmtId="0" fontId="4" fillId="0" borderId="0" xfId="0" applyFont="1" applyBorder="1">
      <alignment vertical="center"/>
    </xf>
    <xf numFmtId="0" fontId="4" fillId="0" borderId="0" xfId="0" applyFont="1" applyFill="1" applyAlignment="1">
      <alignment horizontal="left" vertical="top"/>
    </xf>
    <xf numFmtId="0" fontId="0" fillId="0" borderId="0" xfId="0" applyFont="1" applyFill="1" applyAlignment="1">
      <alignment horizontal="left" vertical="top"/>
    </xf>
    <xf numFmtId="0" fontId="21" fillId="0" borderId="0" xfId="0" applyFont="1" applyFill="1" applyAlignment="1">
      <alignment horizontal="left" vertical="top"/>
    </xf>
    <xf numFmtId="0" fontId="0" fillId="0" borderId="0" xfId="0" applyFont="1" applyFill="1" applyAlignment="1">
      <alignment horizontal="right" vertical="top"/>
    </xf>
    <xf numFmtId="0" fontId="0" fillId="0" borderId="0" xfId="0" applyFont="1" applyFill="1" applyAlignment="1">
      <alignment horizontal="center" vertical="top"/>
    </xf>
    <xf numFmtId="0" fontId="4" fillId="0" borderId="0" xfId="0" applyFont="1">
      <alignment vertical="center"/>
    </xf>
    <xf numFmtId="0" fontId="23" fillId="0" borderId="0" xfId="20" applyAlignment="1">
      <alignment vertical="center"/>
    </xf>
    <xf numFmtId="0" fontId="26" fillId="2" borderId="0" xfId="24" applyFill="1" applyAlignment="1"/>
    <xf numFmtId="0" fontId="27" fillId="2" borderId="0" xfId="25" applyFill="1"/>
    <xf numFmtId="0" fontId="27" fillId="2" borderId="0" xfId="25" applyFill="1" applyAlignment="1">
      <alignment horizontal="center"/>
    </xf>
    <xf numFmtId="0" fontId="26" fillId="0" borderId="0" xfId="24" applyFill="1" applyAlignment="1">
      <alignment horizontal="left" vertical="top"/>
    </xf>
    <xf numFmtId="0" fontId="27" fillId="2" borderId="0" xfId="25" applyFill="1" applyBorder="1" applyAlignment="1" applyProtection="1">
      <alignment vertical="center"/>
      <protection hidden="1"/>
    </xf>
    <xf numFmtId="0" fontId="0" fillId="0" borderId="0" xfId="0">
      <alignment vertical="center"/>
    </xf>
    <xf numFmtId="0" fontId="25" fillId="0" borderId="0" xfId="17" applyAlignment="1">
      <alignment horizontal="center"/>
    </xf>
    <xf numFmtId="0" fontId="25" fillId="10" borderId="0" xfId="17" applyFill="1" applyAlignment="1">
      <alignment horizontal="center"/>
    </xf>
    <xf numFmtId="0" fontId="25" fillId="5" borderId="0" xfId="17" applyFill="1" applyAlignment="1">
      <alignment horizontal="center"/>
    </xf>
    <xf numFmtId="0" fontId="3" fillId="3" borderId="0" xfId="26" applyNumberFormat="1" applyBorder="1" applyAlignment="1">
      <alignment horizontal="center" vertical="top"/>
      <protection locked="0"/>
    </xf>
    <xf numFmtId="0" fontId="3" fillId="19" borderId="30" xfId="16" applyBorder="1" applyAlignment="1"/>
    <xf numFmtId="0" fontId="25" fillId="0" borderId="0" xfId="17" applyAlignment="1"/>
    <xf numFmtId="0" fontId="10" fillId="8" borderId="0" xfId="18" applyAlignment="1"/>
    <xf numFmtId="0" fontId="25" fillId="0" borderId="0" xfId="17" applyAlignment="1">
      <alignment horizontal="center"/>
    </xf>
    <xf numFmtId="0" fontId="14" fillId="2" borderId="1" xfId="3" applyFont="1" applyFill="1" applyBorder="1" applyAlignment="1" applyProtection="1">
      <alignment horizontal="center"/>
      <protection locked="0"/>
    </xf>
    <xf numFmtId="0" fontId="14" fillId="2" borderId="3" xfId="3" applyFont="1" applyFill="1" applyBorder="1" applyAlignment="1" applyProtection="1">
      <alignment horizontal="center"/>
      <protection locked="0"/>
    </xf>
    <xf numFmtId="165" fontId="14" fillId="2" borderId="1" xfId="3" applyNumberFormat="1" applyFont="1" applyFill="1" applyBorder="1" applyAlignment="1" applyProtection="1">
      <alignment horizontal="center"/>
      <protection locked="0"/>
    </xf>
    <xf numFmtId="165" fontId="14" fillId="2" borderId="2" xfId="3" applyNumberFormat="1" applyFont="1" applyFill="1" applyBorder="1" applyAlignment="1" applyProtection="1">
      <alignment horizontal="center"/>
      <protection locked="0"/>
    </xf>
    <xf numFmtId="0" fontId="14" fillId="2" borderId="1" xfId="3" applyFont="1" applyFill="1" applyBorder="1" applyAlignment="1" applyProtection="1">
      <alignment horizontal="left"/>
      <protection locked="0"/>
    </xf>
    <xf numFmtId="0" fontId="14" fillId="2" borderId="2" xfId="3" applyFont="1" applyFill="1" applyBorder="1" applyAlignment="1" applyProtection="1">
      <alignment horizontal="left"/>
      <protection locked="0"/>
    </xf>
    <xf numFmtId="0" fontId="15" fillId="2" borderId="6" xfId="3" applyFont="1" applyFill="1" applyBorder="1" applyAlignment="1" applyProtection="1">
      <alignment horizontal="center"/>
      <protection locked="0"/>
    </xf>
    <xf numFmtId="0" fontId="15" fillId="2" borderId="8" xfId="3" applyFont="1" applyFill="1" applyBorder="1" applyAlignment="1" applyProtection="1">
      <alignment horizontal="center"/>
      <protection locked="0"/>
    </xf>
    <xf numFmtId="165" fontId="15" fillId="2" borderId="6" xfId="3" applyNumberFormat="1" applyFont="1" applyFill="1" applyBorder="1" applyAlignment="1" applyProtection="1">
      <alignment horizontal="center"/>
      <protection locked="0"/>
    </xf>
    <xf numFmtId="165" fontId="15" fillId="2" borderId="0" xfId="3" applyNumberFormat="1" applyFont="1" applyFill="1" applyBorder="1" applyAlignment="1" applyProtection="1">
      <alignment horizontal="center"/>
      <protection locked="0"/>
    </xf>
    <xf numFmtId="0" fontId="15" fillId="2" borderId="6" xfId="3" applyFont="1" applyFill="1" applyBorder="1" applyAlignment="1" applyProtection="1">
      <alignment horizontal="left"/>
      <protection locked="0"/>
    </xf>
    <xf numFmtId="0" fontId="15" fillId="2" borderId="0" xfId="3" applyFont="1" applyFill="1" applyBorder="1" applyAlignment="1" applyProtection="1">
      <alignment horizontal="left"/>
      <protection locked="0"/>
    </xf>
    <xf numFmtId="0" fontId="23" fillId="0" borderId="0" xfId="20" applyNumberFormat="1" applyAlignment="1">
      <alignment horizontal="left"/>
    </xf>
    <xf numFmtId="0" fontId="23" fillId="0" borderId="0" xfId="20" applyAlignment="1">
      <alignment horizontal="right"/>
    </xf>
    <xf numFmtId="0" fontId="23" fillId="0" borderId="0" xfId="20" applyFill="1" applyAlignment="1">
      <alignment horizontal="left" vertical="top"/>
    </xf>
    <xf numFmtId="0" fontId="9" fillId="0" borderId="0" xfId="11" applyFont="1" applyFill="1" applyAlignment="1">
      <alignment horizontal="left" vertical="top"/>
    </xf>
    <xf numFmtId="0" fontId="9" fillId="0" borderId="5" xfId="11" applyNumberFormat="1" applyFill="1" applyBorder="1" applyAlignment="1">
      <alignment vertical="center"/>
    </xf>
    <xf numFmtId="0" fontId="9" fillId="0" borderId="4" xfId="11" applyNumberFormat="1" applyFill="1" applyBorder="1" applyAlignment="1">
      <alignment horizontal="center"/>
    </xf>
    <xf numFmtId="0" fontId="9" fillId="0" borderId="4" xfId="11" applyNumberFormat="1" applyFill="1" applyBorder="1" applyAlignment="1">
      <alignment horizontal="left"/>
    </xf>
    <xf numFmtId="0" fontId="26" fillId="0" borderId="0" xfId="24" applyFill="1" applyAlignment="1">
      <alignment vertical="center"/>
    </xf>
    <xf numFmtId="0" fontId="23" fillId="2" borderId="0" xfId="20" applyFill="1" applyBorder="1" applyAlignment="1">
      <alignment horizontal="left"/>
    </xf>
    <xf numFmtId="0" fontId="8" fillId="5" borderId="0" xfId="3" applyFont="1" applyFill="1" applyAlignment="1"/>
    <xf numFmtId="0" fontId="4" fillId="0" borderId="0" xfId="0" applyFont="1" applyAlignment="1"/>
    <xf numFmtId="0" fontId="3" fillId="8" borderId="0" xfId="3" applyFont="1" applyFill="1" applyAlignment="1"/>
    <xf numFmtId="0" fontId="4" fillId="12" borderId="0" xfId="0" applyFont="1" applyFill="1" applyAlignment="1"/>
    <xf numFmtId="0" fontId="4" fillId="13" borderId="0" xfId="0" applyFont="1" applyFill="1" applyAlignment="1"/>
    <xf numFmtId="0" fontId="8" fillId="14" borderId="0" xfId="0" applyFont="1" applyFill="1" applyAlignment="1"/>
    <xf numFmtId="0" fontId="3" fillId="8" borderId="27" xfId="27" applyAlignment="1"/>
    <xf numFmtId="0" fontId="4" fillId="15" borderId="41" xfId="19" applyAlignment="1"/>
    <xf numFmtId="0" fontId="3" fillId="9" borderId="27" xfId="13" applyAlignment="1">
      <protection locked="0"/>
    </xf>
    <xf numFmtId="0" fontId="3" fillId="3" borderId="0" xfId="26" applyBorder="1" applyAlignment="1">
      <protection locked="0"/>
    </xf>
    <xf numFmtId="0" fontId="3" fillId="11" borderId="0" xfId="15" applyBorder="1" applyAlignment="1"/>
    <xf numFmtId="0" fontId="24" fillId="7" borderId="27" xfId="14" applyAlignment="1"/>
    <xf numFmtId="0" fontId="23" fillId="0" borderId="0" xfId="20" applyFill="1" applyBorder="1"/>
    <xf numFmtId="0" fontId="27" fillId="2" borderId="0" xfId="25" applyFill="1" applyAlignment="1">
      <alignment horizontal="left"/>
    </xf>
    <xf numFmtId="0" fontId="14" fillId="2" borderId="12" xfId="3" applyFont="1" applyFill="1" applyBorder="1" applyAlignment="1">
      <alignment horizontal="right"/>
    </xf>
    <xf numFmtId="0" fontId="8" fillId="20" borderId="0" xfId="0" applyFont="1" applyFill="1" applyAlignment="1"/>
    <xf numFmtId="0" fontId="8" fillId="6" borderId="0" xfId="3" applyFont="1" applyFill="1" applyAlignment="1"/>
    <xf numFmtId="0" fontId="4" fillId="0" borderId="0" xfId="0" applyFont="1" applyFill="1">
      <alignment vertical="center"/>
    </xf>
    <xf numFmtId="0" fontId="23" fillId="0" borderId="0" xfId="20" applyFill="1" applyAlignment="1">
      <alignment vertical="center"/>
    </xf>
    <xf numFmtId="0" fontId="27" fillId="0" borderId="0" xfId="25" applyFill="1" applyAlignment="1">
      <alignment vertical="center"/>
    </xf>
    <xf numFmtId="0" fontId="0" fillId="0" borderId="0" xfId="0" applyFill="1">
      <alignment vertical="center"/>
    </xf>
    <xf numFmtId="0" fontId="13" fillId="4" borderId="27" xfId="12">
      <alignment horizontal="center"/>
    </xf>
    <xf numFmtId="0" fontId="4" fillId="0" borderId="0" xfId="0" applyFont="1" applyFill="1" applyBorder="1">
      <alignment vertical="center"/>
    </xf>
    <xf numFmtId="0" fontId="0" fillId="0" borderId="0" xfId="0" applyAlignment="1">
      <alignment horizontal="center" vertical="center"/>
    </xf>
    <xf numFmtId="0" fontId="14" fillId="0" borderId="0" xfId="0" applyFont="1" applyFill="1">
      <alignment vertical="center"/>
    </xf>
    <xf numFmtId="0" fontId="23" fillId="0" borderId="0" xfId="20" applyAlignment="1">
      <alignment horizontal="right" vertical="center"/>
    </xf>
    <xf numFmtId="0" fontId="23" fillId="2" borderId="0" xfId="20" applyFill="1" applyBorder="1" applyAlignment="1">
      <alignment horizontal="left" vertical="top"/>
    </xf>
    <xf numFmtId="0" fontId="5" fillId="2" borderId="44" xfId="2" applyFill="1" applyBorder="1" applyAlignment="1">
      <alignment horizontal="center"/>
    </xf>
    <xf numFmtId="0" fontId="29" fillId="2" borderId="0" xfId="20" applyFont="1" applyFill="1" applyBorder="1" applyAlignment="1">
      <alignment vertical="center"/>
    </xf>
    <xf numFmtId="0" fontId="14" fillId="2" borderId="0" xfId="3" applyFont="1" applyFill="1" applyBorder="1"/>
    <xf numFmtId="0" fontId="9" fillId="2" borderId="0" xfId="11" applyFill="1" applyBorder="1"/>
    <xf numFmtId="0" fontId="21" fillId="0" borderId="0" xfId="0" applyFont="1" applyFill="1" applyAlignment="1">
      <alignment horizontal="center" vertical="top"/>
    </xf>
    <xf numFmtId="0" fontId="9" fillId="0" borderId="0" xfId="11" applyFont="1" applyFill="1" applyAlignment="1">
      <alignment horizontal="center" vertical="top"/>
    </xf>
    <xf numFmtId="0" fontId="23" fillId="0" borderId="0" xfId="20" applyFill="1" applyAlignment="1">
      <alignment horizontal="right" vertical="top"/>
    </xf>
    <xf numFmtId="0" fontId="3" fillId="3" borderId="0" xfId="26" applyBorder="1" applyAlignment="1">
      <alignment horizontal="left" vertical="top"/>
      <protection locked="0"/>
    </xf>
    <xf numFmtId="0" fontId="0" fillId="0" borderId="0" xfId="0" applyAlignment="1">
      <alignment horizontal="centerContinuous" vertical="center"/>
    </xf>
    <xf numFmtId="0" fontId="0" fillId="0" borderId="26" xfId="0" applyFont="1" applyFill="1" applyBorder="1" applyAlignment="1">
      <alignment horizontal="left" vertical="top"/>
    </xf>
    <xf numFmtId="0" fontId="23" fillId="0" borderId="26" xfId="20" applyBorder="1" applyAlignment="1">
      <alignment horizontal="right" vertical="center"/>
    </xf>
    <xf numFmtId="0" fontId="0" fillId="0" borderId="26" xfId="0" applyBorder="1" applyAlignment="1">
      <alignment horizontal="centerContinuous" vertical="center"/>
    </xf>
    <xf numFmtId="172" fontId="27" fillId="0" borderId="0" xfId="25" applyNumberFormat="1" applyFill="1" applyAlignment="1">
      <alignment horizontal="center" vertical="center"/>
    </xf>
    <xf numFmtId="0" fontId="23" fillId="0" borderId="0" xfId="20" applyFont="1" applyFill="1" applyAlignment="1">
      <alignment horizontal="right" vertical="center"/>
    </xf>
    <xf numFmtId="0" fontId="3" fillId="8" borderId="27" xfId="27" applyNumberFormat="1" applyFont="1" applyAlignment="1">
      <alignment horizontal="center" vertical="center"/>
    </xf>
    <xf numFmtId="0" fontId="4" fillId="0" borderId="0" xfId="0" applyNumberFormat="1" applyFont="1" applyAlignment="1">
      <alignment horizontal="center" vertical="center"/>
    </xf>
    <xf numFmtId="9" fontId="3" fillId="8" borderId="27" xfId="29" applyFont="1" applyFill="1" applyBorder="1" applyAlignment="1">
      <alignment horizontal="center" vertical="center"/>
    </xf>
    <xf numFmtId="0" fontId="23" fillId="0" borderId="0" xfId="20" applyFont="1" applyFill="1" applyAlignment="1">
      <alignment vertical="center"/>
    </xf>
    <xf numFmtId="0" fontId="4" fillId="0" borderId="46" xfId="30" applyFont="1" applyFill="1" applyBorder="1" applyAlignment="1">
      <alignment horizontal="left" vertical="center" wrapText="1"/>
    </xf>
    <xf numFmtId="0" fontId="4" fillId="0" borderId="46" xfId="30" applyFont="1" applyFill="1" applyBorder="1" applyAlignment="1">
      <alignment vertical="center"/>
    </xf>
    <xf numFmtId="0" fontId="4" fillId="0" borderId="46" xfId="30" applyFont="1" applyFill="1" applyBorder="1" applyAlignment="1" applyProtection="1">
      <alignment horizontal="left" vertical="center" wrapText="1"/>
      <protection locked="0"/>
    </xf>
    <xf numFmtId="0" fontId="4" fillId="2" borderId="46" xfId="30" applyFont="1" applyFill="1" applyBorder="1" applyAlignment="1">
      <alignment vertical="center"/>
    </xf>
    <xf numFmtId="0" fontId="3" fillId="19" borderId="0" xfId="16" applyAlignment="1">
      <alignment vertical="center"/>
    </xf>
    <xf numFmtId="9" fontId="3" fillId="19" borderId="0" xfId="29" applyFont="1" applyFill="1" applyAlignment="1">
      <alignment vertical="center"/>
    </xf>
    <xf numFmtId="3" fontId="3" fillId="19" borderId="0" xfId="16" applyNumberFormat="1" applyAlignment="1">
      <alignment vertical="center"/>
    </xf>
    <xf numFmtId="0" fontId="27" fillId="0" borderId="0" xfId="25" applyFill="1" applyAlignment="1">
      <alignment horizontal="right" vertical="center"/>
    </xf>
    <xf numFmtId="0" fontId="23" fillId="0" borderId="0" xfId="20" applyFill="1" applyAlignment="1">
      <alignment horizontal="right" vertical="center"/>
    </xf>
    <xf numFmtId="173" fontId="3" fillId="19" borderId="46" xfId="16" applyNumberFormat="1" applyBorder="1" applyAlignment="1">
      <alignment horizontal="center" vertical="center"/>
    </xf>
    <xf numFmtId="43" fontId="3" fillId="19" borderId="46" xfId="16" applyNumberFormat="1" applyBorder="1" applyAlignment="1" applyProtection="1">
      <alignment horizontal="center" vertical="center"/>
      <protection locked="0"/>
    </xf>
    <xf numFmtId="0" fontId="3" fillId="19" borderId="27" xfId="16" applyBorder="1" applyAlignment="1">
      <alignment vertical="center"/>
    </xf>
    <xf numFmtId="0" fontId="3" fillId="8" borderId="27" xfId="27" applyAlignment="1">
      <alignment horizontal="center" vertical="center"/>
    </xf>
    <xf numFmtId="0" fontId="0" fillId="0" borderId="0" xfId="0" applyAlignment="1">
      <alignment vertical="center" wrapText="1"/>
    </xf>
    <xf numFmtId="0" fontId="4" fillId="0" borderId="0" xfId="0" applyFont="1" applyFill="1" applyAlignment="1">
      <alignment horizontal="center" vertical="center"/>
    </xf>
    <xf numFmtId="0" fontId="23" fillId="0" borderId="0" xfId="20" applyFill="1" applyAlignment="1">
      <alignment horizontal="center" vertical="center"/>
    </xf>
    <xf numFmtId="0" fontId="3" fillId="8" borderId="43" xfId="27" applyBorder="1" applyAlignment="1">
      <alignment horizontal="center" vertical="center"/>
    </xf>
    <xf numFmtId="0" fontId="27" fillId="0" borderId="4" xfId="25" applyFill="1" applyBorder="1" applyAlignment="1">
      <alignment vertical="center"/>
    </xf>
    <xf numFmtId="0" fontId="27" fillId="0" borderId="4" xfId="25" applyFill="1" applyBorder="1" applyAlignment="1">
      <alignment horizontal="center" vertical="center"/>
    </xf>
    <xf numFmtId="0" fontId="3" fillId="11" borderId="40" xfId="15" applyAlignment="1">
      <alignment horizontal="center" vertical="center"/>
    </xf>
    <xf numFmtId="172" fontId="27" fillId="0" borderId="4" xfId="25" applyNumberFormat="1" applyFill="1" applyBorder="1" applyAlignment="1">
      <alignment horizontal="center" vertical="center"/>
    </xf>
    <xf numFmtId="0" fontId="0" fillId="0" borderId="0" xfId="0" applyFont="1" applyFill="1">
      <alignment vertical="center"/>
    </xf>
    <xf numFmtId="43" fontId="4" fillId="0" borderId="0" xfId="0" applyNumberFormat="1" applyFont="1" applyFill="1">
      <alignment vertical="center"/>
    </xf>
    <xf numFmtId="0" fontId="14" fillId="0" borderId="46" xfId="30" applyFont="1" applyFill="1" applyBorder="1" applyAlignment="1">
      <alignment vertical="center"/>
    </xf>
    <xf numFmtId="0" fontId="4" fillId="0" borderId="0" xfId="0" applyFont="1" applyFill="1" applyBorder="1" applyAlignment="1">
      <alignment horizontal="left" vertical="top"/>
    </xf>
    <xf numFmtId="0" fontId="14" fillId="0" borderId="46" xfId="30" applyFont="1" applyFill="1" applyBorder="1" applyAlignment="1">
      <alignment horizontal="left" vertical="center" wrapText="1"/>
    </xf>
    <xf numFmtId="43" fontId="14" fillId="0" borderId="46" xfId="32" applyFont="1" applyFill="1" applyBorder="1" applyAlignment="1">
      <alignment horizontal="center" vertical="center"/>
    </xf>
    <xf numFmtId="0" fontId="3" fillId="8" borderId="27" xfId="27" applyNumberFormat="1" applyAlignment="1">
      <alignment horizontal="center" vertical="center"/>
    </xf>
    <xf numFmtId="0" fontId="27" fillId="0" borderId="0" xfId="25" applyFill="1" applyBorder="1" applyAlignment="1">
      <alignment vertical="center"/>
    </xf>
    <xf numFmtId="0" fontId="23" fillId="0" borderId="0" xfId="20" applyFont="1" applyFill="1" applyAlignment="1">
      <alignment horizontal="right" vertical="center" wrapText="1"/>
    </xf>
    <xf numFmtId="0" fontId="29" fillId="0" borderId="0" xfId="20" applyFont="1" applyFill="1" applyAlignment="1">
      <alignment horizontal="right" vertical="center"/>
    </xf>
    <xf numFmtId="0" fontId="27" fillId="0" borderId="48" xfId="25" applyFill="1" applyBorder="1" applyAlignment="1">
      <alignment horizontal="center" vertical="center"/>
    </xf>
    <xf numFmtId="172" fontId="27" fillId="0" borderId="49" xfId="25" applyNumberFormat="1" applyFill="1" applyBorder="1" applyAlignment="1">
      <alignment horizontal="center" vertical="center"/>
    </xf>
    <xf numFmtId="0" fontId="4" fillId="0" borderId="0" xfId="3" applyFill="1" applyBorder="1"/>
    <xf numFmtId="0" fontId="23" fillId="0" borderId="0" xfId="20" applyFill="1" applyBorder="1" applyAlignment="1">
      <alignment horizontal="left"/>
    </xf>
    <xf numFmtId="0" fontId="3" fillId="11" borderId="40" xfId="15" applyAlignment="1"/>
    <xf numFmtId="0" fontId="3" fillId="9" borderId="27" xfId="13" applyAlignment="1">
      <alignment horizontal="center" vertical="top"/>
      <protection locked="0"/>
    </xf>
    <xf numFmtId="0" fontId="3" fillId="9" borderId="27" xfId="13" applyAlignment="1">
      <alignment horizontal="left" vertical="top"/>
      <protection locked="0"/>
    </xf>
    <xf numFmtId="0" fontId="3" fillId="0" borderId="46" xfId="30" applyFont="1" applyFill="1" applyBorder="1" applyAlignment="1">
      <alignment horizontal="left" vertical="center" wrapText="1"/>
    </xf>
    <xf numFmtId="0" fontId="4" fillId="0" borderId="0" xfId="30" applyFont="1" applyFill="1" applyBorder="1" applyAlignment="1">
      <alignment vertical="center"/>
    </xf>
    <xf numFmtId="0" fontId="4" fillId="0" borderId="0" xfId="0" applyFont="1" applyAlignment="1">
      <alignment horizontal="center" vertical="center"/>
    </xf>
    <xf numFmtId="0" fontId="0" fillId="0" borderId="0" xfId="0" applyFont="1" applyAlignment="1">
      <alignment horizontal="center" vertical="center"/>
    </xf>
    <xf numFmtId="0" fontId="4" fillId="0" borderId="0" xfId="0" applyFont="1" applyAlignment="1">
      <alignment horizontal="right" vertical="center"/>
    </xf>
    <xf numFmtId="0" fontId="9" fillId="0" borderId="0" xfId="11" applyFill="1" applyAlignment="1">
      <alignment horizontal="right" vertical="center"/>
    </xf>
    <xf numFmtId="0" fontId="33" fillId="0" borderId="0" xfId="0" applyFont="1" applyFill="1">
      <alignment vertical="center"/>
    </xf>
    <xf numFmtId="0" fontId="0" fillId="0" borderId="26" xfId="0" applyBorder="1" applyAlignment="1">
      <alignment horizontal="center" vertical="center"/>
    </xf>
    <xf numFmtId="0" fontId="0" fillId="0" borderId="46" xfId="30" applyFont="1" applyFill="1" applyBorder="1" applyAlignment="1">
      <alignment horizontal="left" vertical="center" wrapText="1"/>
    </xf>
    <xf numFmtId="2" fontId="0" fillId="0" borderId="0" xfId="0" applyNumberFormat="1">
      <alignment vertical="center"/>
    </xf>
    <xf numFmtId="0" fontId="3" fillId="0" borderId="0" xfId="0" applyFont="1" applyBorder="1">
      <alignment vertical="center"/>
    </xf>
    <xf numFmtId="0" fontId="3" fillId="0" borderId="0" xfId="0" applyFont="1" applyFill="1" applyBorder="1" applyAlignment="1">
      <alignment vertical="top" wrapText="1"/>
    </xf>
    <xf numFmtId="0" fontId="0" fillId="0" borderId="0" xfId="0" applyFont="1" applyFill="1" applyBorder="1">
      <alignment vertical="center"/>
    </xf>
    <xf numFmtId="0" fontId="0" fillId="0" borderId="0" xfId="0" applyFont="1" applyFill="1" applyBorder="1" applyAlignment="1">
      <alignment vertical="center" wrapText="1"/>
    </xf>
    <xf numFmtId="9" fontId="3" fillId="19" borderId="0" xfId="29" applyNumberFormat="1" applyFont="1" applyFill="1" applyAlignment="1">
      <alignment vertical="center"/>
    </xf>
    <xf numFmtId="0" fontId="0" fillId="0" borderId="0" xfId="0" applyAlignment="1">
      <alignment horizontal="centerContinuous" vertical="center" wrapText="1"/>
    </xf>
    <xf numFmtId="175" fontId="3" fillId="11" borderId="45" xfId="15" applyNumberFormat="1" applyBorder="1" applyAlignment="1">
      <alignment horizontal="center" vertical="top"/>
    </xf>
    <xf numFmtId="175" fontId="3" fillId="8" borderId="43" xfId="27" applyNumberFormat="1" applyBorder="1" applyAlignment="1">
      <alignment horizontal="center" vertical="top"/>
    </xf>
    <xf numFmtId="175" fontId="3" fillId="8" borderId="27" xfId="27" applyNumberFormat="1" applyAlignment="1">
      <alignment horizontal="center" vertical="top"/>
    </xf>
    <xf numFmtId="175" fontId="3" fillId="13" borderId="27" xfId="27" applyNumberFormat="1" applyFill="1" applyAlignment="1">
      <alignment horizontal="center" vertical="top"/>
    </xf>
    <xf numFmtId="43" fontId="3" fillId="19" borderId="46" xfId="16" applyNumberFormat="1" applyFill="1" applyBorder="1" applyAlignment="1" applyProtection="1">
      <alignment horizontal="center" vertical="center"/>
      <protection locked="0"/>
    </xf>
    <xf numFmtId="0" fontId="35" fillId="0" borderId="0" xfId="0" applyFont="1" applyFill="1" applyAlignment="1">
      <alignment vertical="center" wrapText="1"/>
    </xf>
    <xf numFmtId="0" fontId="33" fillId="0" borderId="0" xfId="0" applyFont="1" applyFill="1" applyAlignment="1">
      <alignment horizontal="right" vertical="center" wrapText="1"/>
    </xf>
    <xf numFmtId="0" fontId="33" fillId="0" borderId="0" xfId="0" applyFont="1" applyFill="1" applyBorder="1" applyAlignment="1">
      <alignment horizontal="left"/>
    </xf>
    <xf numFmtId="0" fontId="23" fillId="0" borderId="0" xfId="20" applyFill="1" applyAlignment="1">
      <alignment vertical="center"/>
    </xf>
    <xf numFmtId="0" fontId="23" fillId="0" borderId="0" xfId="20" applyFill="1" applyAlignment="1">
      <alignment horizontal="right" vertical="center" wrapText="1"/>
    </xf>
    <xf numFmtId="10" fontId="3" fillId="8" borderId="27" xfId="29" applyNumberFormat="1" applyFont="1" applyFill="1" applyBorder="1" applyAlignment="1">
      <alignment horizontal="center" vertical="center"/>
    </xf>
    <xf numFmtId="0" fontId="27" fillId="0" borderId="0" xfId="25" applyAlignment="1">
      <alignment vertical="center"/>
    </xf>
    <xf numFmtId="0" fontId="3" fillId="0" borderId="0" xfId="0" applyFont="1" applyFill="1">
      <alignment vertical="center"/>
    </xf>
    <xf numFmtId="0" fontId="39" fillId="0" borderId="0" xfId="0" applyFont="1" applyFill="1">
      <alignment vertical="center"/>
    </xf>
    <xf numFmtId="0" fontId="3" fillId="0" borderId="0" xfId="0" applyFont="1" applyFill="1" applyAlignment="1">
      <alignment horizontal="center" vertical="center" wrapText="1"/>
    </xf>
    <xf numFmtId="0" fontId="40" fillId="0" borderId="0" xfId="0" applyFont="1" applyFill="1" applyBorder="1" applyAlignment="1">
      <alignment horizontal="center" vertical="center" wrapText="1"/>
    </xf>
    <xf numFmtId="0" fontId="3" fillId="0" borderId="0" xfId="0" applyFont="1">
      <alignment vertical="center"/>
    </xf>
    <xf numFmtId="0" fontId="3" fillId="0" borderId="0" xfId="0" applyFont="1" applyFill="1" applyBorder="1" applyAlignment="1">
      <alignment horizontal="center" vertical="center" wrapText="1"/>
    </xf>
    <xf numFmtId="0" fontId="3" fillId="0" borderId="26" xfId="0" applyFont="1" applyFill="1" applyBorder="1" applyAlignment="1">
      <alignment horizontal="centerContinuous" vertical="center"/>
    </xf>
    <xf numFmtId="0" fontId="3" fillId="0" borderId="26" xfId="0" applyFont="1" applyFill="1" applyBorder="1" applyAlignment="1">
      <alignment horizontal="center" vertical="center"/>
    </xf>
    <xf numFmtId="0" fontId="27" fillId="0" borderId="0" xfId="25" applyFill="1" applyAlignment="1">
      <alignment horizontal="center" vertical="center"/>
    </xf>
    <xf numFmtId="0" fontId="23" fillId="0" borderId="0" xfId="20" applyFill="1" applyBorder="1" applyAlignment="1">
      <alignment horizontal="right" vertical="center"/>
    </xf>
    <xf numFmtId="176" fontId="3" fillId="19" borderId="0" xfId="16" applyNumberFormat="1" applyAlignment="1">
      <alignment vertical="center"/>
    </xf>
    <xf numFmtId="177" fontId="3" fillId="19" borderId="0" xfId="16" applyNumberFormat="1" applyAlignment="1">
      <alignment vertical="center"/>
    </xf>
    <xf numFmtId="43" fontId="3" fillId="19" borderId="46" xfId="16" applyNumberFormat="1" applyBorder="1" applyAlignment="1">
      <alignment horizontal="center" vertical="center"/>
    </xf>
    <xf numFmtId="0" fontId="3" fillId="2" borderId="46" xfId="30" applyFont="1" applyFill="1" applyBorder="1" applyAlignment="1" applyProtection="1">
      <alignment horizontal="left" vertical="center" wrapText="1"/>
      <protection locked="0"/>
    </xf>
    <xf numFmtId="0" fontId="3" fillId="2" borderId="46" xfId="30" applyFont="1" applyFill="1" applyBorder="1" applyAlignment="1">
      <alignment horizontal="left" vertical="center" wrapText="1"/>
    </xf>
    <xf numFmtId="0" fontId="3" fillId="0" borderId="46" xfId="30" applyFont="1" applyFill="1" applyBorder="1" applyAlignment="1" applyProtection="1">
      <alignment horizontal="left" vertical="center" wrapText="1"/>
      <protection locked="0"/>
    </xf>
    <xf numFmtId="0" fontId="3" fillId="0" borderId="46" xfId="30" applyFont="1" applyFill="1" applyBorder="1" applyAlignment="1">
      <alignment vertical="center"/>
    </xf>
    <xf numFmtId="175" fontId="3" fillId="13" borderId="35" xfId="27" applyNumberFormat="1" applyFont="1" applyFill="1" applyBorder="1" applyAlignment="1">
      <alignment horizontal="center" vertical="top"/>
    </xf>
    <xf numFmtId="175" fontId="3" fillId="13" borderId="0" xfId="27" applyNumberFormat="1" applyFont="1" applyFill="1" applyBorder="1" applyAlignment="1">
      <alignment horizontal="center" vertical="top"/>
    </xf>
    <xf numFmtId="175" fontId="3" fillId="0" borderId="0" xfId="0" applyNumberFormat="1" applyFont="1">
      <alignment vertical="center"/>
    </xf>
    <xf numFmtId="175" fontId="3" fillId="13" borderId="0" xfId="0" applyNumberFormat="1" applyFont="1" applyFill="1" applyBorder="1" applyAlignment="1">
      <alignment horizontal="center" vertical="center"/>
    </xf>
    <xf numFmtId="175" fontId="3" fillId="13" borderId="0" xfId="0" applyNumberFormat="1" applyFont="1" applyFill="1" applyAlignment="1">
      <alignment horizontal="center" vertical="center"/>
    </xf>
    <xf numFmtId="175" fontId="3" fillId="13" borderId="40" xfId="15" applyNumberFormat="1" applyFont="1" applyFill="1" applyAlignment="1">
      <alignment horizontal="center" vertical="top"/>
    </xf>
    <xf numFmtId="175" fontId="3" fillId="21" borderId="0" xfId="27" applyNumberFormat="1" applyFont="1" applyFill="1" applyBorder="1" applyAlignment="1">
      <alignment horizontal="center" vertical="top"/>
    </xf>
    <xf numFmtId="0" fontId="0" fillId="0" borderId="0" xfId="0" quotePrefix="1" applyAlignment="1">
      <alignment vertical="center"/>
    </xf>
    <xf numFmtId="0" fontId="0" fillId="0" borderId="53" xfId="0" quotePrefix="1" applyBorder="1" applyAlignment="1">
      <alignment horizontal="center" vertical="center"/>
    </xf>
    <xf numFmtId="0" fontId="0" fillId="0" borderId="54" xfId="0" quotePrefix="1" applyBorder="1" applyAlignment="1">
      <alignment horizontal="center" vertical="center"/>
    </xf>
    <xf numFmtId="0" fontId="0" fillId="0" borderId="55" xfId="0" quotePrefix="1" applyBorder="1" applyAlignment="1">
      <alignment horizontal="center" vertical="center"/>
    </xf>
    <xf numFmtId="0" fontId="0" fillId="0" borderId="56" xfId="0" quotePrefix="1" applyBorder="1" applyAlignment="1">
      <alignment horizontal="center" vertical="center"/>
    </xf>
    <xf numFmtId="0" fontId="0" fillId="0" borderId="0" xfId="0" quotePrefix="1" applyBorder="1" applyAlignment="1">
      <alignment horizontal="center" vertical="center"/>
    </xf>
    <xf numFmtId="0" fontId="0" fillId="0" borderId="57" xfId="0" quotePrefix="1" applyBorder="1" applyAlignment="1">
      <alignment horizontal="center" vertical="center"/>
    </xf>
    <xf numFmtId="0" fontId="3" fillId="19" borderId="0" xfId="16" quotePrefix="1" applyAlignment="1">
      <alignment vertical="center"/>
    </xf>
    <xf numFmtId="175" fontId="3" fillId="19" borderId="58" xfId="16" quotePrefix="1" applyNumberFormat="1" applyBorder="1" applyAlignment="1">
      <alignment horizontal="center" vertical="center"/>
    </xf>
    <xf numFmtId="175" fontId="3" fillId="19" borderId="59" xfId="16" quotePrefix="1" applyNumberFormat="1" applyBorder="1" applyAlignment="1">
      <alignment horizontal="center" vertical="center"/>
    </xf>
    <xf numFmtId="175" fontId="3" fillId="19" borderId="60" xfId="16" quotePrefix="1" applyNumberFormat="1" applyBorder="1" applyAlignment="1">
      <alignment horizontal="center" vertical="center"/>
    </xf>
    <xf numFmtId="9" fontId="3" fillId="11" borderId="40" xfId="15" applyNumberFormat="1" applyAlignment="1">
      <alignment horizontal="center" vertical="top"/>
    </xf>
    <xf numFmtId="9" fontId="3" fillId="8" borderId="27" xfId="27" applyNumberFormat="1" applyAlignment="1">
      <alignment horizontal="center" vertical="top"/>
    </xf>
    <xf numFmtId="175" fontId="3" fillId="8" borderId="27" xfId="27" applyNumberFormat="1" applyAlignment="1">
      <alignment horizontal="center" vertical="center"/>
    </xf>
    <xf numFmtId="175" fontId="3" fillId="8" borderId="43" xfId="27" applyNumberFormat="1" applyBorder="1" applyAlignment="1">
      <alignment horizontal="center" vertical="center"/>
    </xf>
    <xf numFmtId="0" fontId="41" fillId="0" borderId="4" xfId="0" applyFont="1" applyFill="1" applyBorder="1" applyAlignment="1">
      <alignment horizontal="left" vertical="top"/>
    </xf>
    <xf numFmtId="0" fontId="29" fillId="0" borderId="4" xfId="20" applyFont="1" applyBorder="1" applyAlignment="1">
      <alignment horizontal="right" vertical="center"/>
    </xf>
    <xf numFmtId="175" fontId="42" fillId="11" borderId="61" xfId="15" applyNumberFormat="1" applyFont="1" applyBorder="1" applyAlignment="1">
      <alignment horizontal="center" vertical="top"/>
    </xf>
    <xf numFmtId="0" fontId="41" fillId="0" borderId="4" xfId="0" applyFont="1" applyBorder="1">
      <alignment vertical="center"/>
    </xf>
    <xf numFmtId="0" fontId="42" fillId="0" borderId="4" xfId="0" applyFont="1" applyBorder="1">
      <alignment vertical="center"/>
    </xf>
    <xf numFmtId="175" fontId="42" fillId="13" borderId="4" xfId="0" applyNumberFormat="1" applyFont="1" applyFill="1" applyBorder="1" applyAlignment="1">
      <alignment horizontal="center" vertical="center"/>
    </xf>
    <xf numFmtId="0" fontId="43" fillId="2" borderId="9" xfId="0" applyFont="1" applyFill="1" applyBorder="1">
      <alignment vertical="center"/>
    </xf>
    <xf numFmtId="172" fontId="0" fillId="0" borderId="0" xfId="0" applyNumberFormat="1">
      <alignment vertical="center"/>
    </xf>
    <xf numFmtId="0" fontId="0" fillId="0" borderId="46" xfId="30" applyFont="1" applyFill="1" applyBorder="1" applyAlignment="1">
      <alignment vertical="center"/>
    </xf>
    <xf numFmtId="175" fontId="3" fillId="11" borderId="40" xfId="15" applyNumberFormat="1" applyAlignment="1">
      <alignment horizontal="center" vertical="top"/>
    </xf>
    <xf numFmtId="0" fontId="4" fillId="0" borderId="0" xfId="30" applyFont="1" applyFill="1" applyBorder="1" applyAlignment="1">
      <alignment horizontal="left" vertical="center" wrapText="1"/>
    </xf>
    <xf numFmtId="43" fontId="3" fillId="0" borderId="0" xfId="15" applyNumberFormat="1" applyFill="1" applyBorder="1" applyAlignment="1">
      <alignment horizontal="center" vertical="center"/>
    </xf>
    <xf numFmtId="0" fontId="0" fillId="0" borderId="0" xfId="0" applyFill="1" applyBorder="1">
      <alignment vertical="center"/>
    </xf>
    <xf numFmtId="0" fontId="4" fillId="0" borderId="0" xfId="0" applyFont="1" applyFill="1" applyBorder="1" applyAlignment="1">
      <alignment horizontal="left" vertical="center"/>
    </xf>
    <xf numFmtId="43" fontId="3" fillId="11" borderId="46" xfId="15" applyNumberFormat="1" applyFont="1" applyBorder="1" applyAlignment="1" applyProtection="1">
      <alignment horizontal="center" vertical="center"/>
      <protection locked="0"/>
    </xf>
    <xf numFmtId="43" fontId="3" fillId="11" borderId="46" xfId="15" applyNumberFormat="1" applyFont="1" applyBorder="1" applyAlignment="1">
      <alignment horizontal="center" vertical="center"/>
    </xf>
    <xf numFmtId="43" fontId="3" fillId="11" borderId="46" xfId="15" applyNumberFormat="1" applyBorder="1" applyAlignment="1">
      <alignment horizontal="center" vertical="center"/>
    </xf>
    <xf numFmtId="43" fontId="3" fillId="11" borderId="46" xfId="15" applyNumberFormat="1" applyBorder="1" applyAlignment="1">
      <alignment horizontal="left" vertical="center" wrapText="1"/>
    </xf>
    <xf numFmtId="172" fontId="3" fillId="19" borderId="46" xfId="16" applyNumberFormat="1" applyFont="1" applyBorder="1" applyAlignment="1" applyProtection="1">
      <alignment horizontal="center" vertical="center"/>
      <protection locked="0"/>
    </xf>
    <xf numFmtId="172" fontId="3" fillId="11" borderId="46" xfId="15" applyNumberFormat="1" applyFont="1" applyBorder="1" applyAlignment="1">
      <alignment horizontal="center" vertical="center"/>
    </xf>
    <xf numFmtId="0" fontId="38" fillId="0" borderId="0" xfId="20" applyFont="1" applyFill="1" applyAlignment="1">
      <alignment horizontal="right" vertical="center" wrapText="1"/>
    </xf>
    <xf numFmtId="0" fontId="3" fillId="0" borderId="0" xfId="0" applyFont="1" applyFill="1" applyAlignment="1">
      <alignment horizontal="right" vertical="center" wrapText="1"/>
    </xf>
    <xf numFmtId="0" fontId="39" fillId="0" borderId="0" xfId="0" applyFont="1" applyFill="1" applyAlignment="1">
      <alignment horizontal="right" vertical="center" wrapText="1"/>
    </xf>
    <xf numFmtId="0" fontId="3" fillId="0" borderId="0" xfId="0" applyFont="1" applyFill="1" applyBorder="1">
      <alignment vertical="center"/>
    </xf>
    <xf numFmtId="0" fontId="8" fillId="7" borderId="27" xfId="14" applyFont="1" applyAlignment="1">
      <alignment horizontal="right" vertical="center" wrapText="1"/>
    </xf>
    <xf numFmtId="43" fontId="39" fillId="0" borderId="0" xfId="0" applyNumberFormat="1" applyFont="1" applyFill="1" applyAlignment="1">
      <alignment vertical="center" wrapText="1"/>
    </xf>
    <xf numFmtId="0" fontId="3" fillId="0" borderId="0" xfId="16" applyFill="1" applyAlignment="1">
      <alignment vertical="center"/>
    </xf>
    <xf numFmtId="0" fontId="45" fillId="0" borderId="4" xfId="25" applyFont="1" applyFill="1" applyBorder="1" applyAlignment="1">
      <alignment vertical="center"/>
    </xf>
    <xf numFmtId="0" fontId="45" fillId="0" borderId="4" xfId="25" applyFont="1" applyFill="1" applyBorder="1" applyAlignment="1">
      <alignment horizontal="center" vertical="center" wrapText="1"/>
    </xf>
    <xf numFmtId="0" fontId="45" fillId="0" borderId="4" xfId="25" applyFont="1" applyFill="1" applyBorder="1" applyAlignment="1">
      <alignment horizontal="center" vertical="center"/>
    </xf>
    <xf numFmtId="0" fontId="45" fillId="0" borderId="0" xfId="25" applyFont="1" applyFill="1" applyAlignment="1">
      <alignment vertical="center"/>
    </xf>
    <xf numFmtId="0" fontId="38" fillId="0" borderId="0" xfId="20" applyFont="1" applyFill="1" applyAlignment="1">
      <alignment horizontal="right" vertical="center" wrapText="1"/>
    </xf>
    <xf numFmtId="0" fontId="45" fillId="0" borderId="0" xfId="25" applyFont="1" applyFill="1" applyBorder="1" applyAlignment="1">
      <alignment vertical="center"/>
    </xf>
    <xf numFmtId="0" fontId="4" fillId="0" borderId="0" xfId="0" applyFont="1" applyFill="1" applyAlignment="1">
      <alignment horizontal="center" vertical="top"/>
    </xf>
    <xf numFmtId="0" fontId="0" fillId="4" borderId="0" xfId="3" applyFont="1" applyAlignment="1">
      <alignment horizontal="center"/>
    </xf>
    <xf numFmtId="0" fontId="4" fillId="4" borderId="29" xfId="4" applyFont="1" applyBorder="1" applyAlignment="1">
      <alignment horizontal="center" vertical="center"/>
      <protection hidden="1"/>
    </xf>
    <xf numFmtId="0" fontId="3" fillId="3" borderId="0" xfId="26" applyFont="1" applyBorder="1" applyAlignment="1">
      <alignment horizontal="center" vertical="center"/>
      <protection locked="0"/>
    </xf>
    <xf numFmtId="0" fontId="33" fillId="0" borderId="0" xfId="0" applyFont="1" applyFill="1" applyAlignment="1">
      <alignment horizontal="center" vertical="center"/>
    </xf>
    <xf numFmtId="0" fontId="3" fillId="19" borderId="0" xfId="16" applyFont="1" applyAlignment="1">
      <alignment horizontal="center" vertical="center"/>
    </xf>
    <xf numFmtId="0" fontId="3" fillId="0" borderId="0" xfId="16" applyFont="1" applyFill="1" applyAlignment="1">
      <alignment horizontal="center" vertical="center"/>
    </xf>
    <xf numFmtId="0" fontId="39" fillId="19" borderId="0" xfId="16" applyFont="1" applyAlignment="1">
      <alignment horizontal="center" vertical="center"/>
    </xf>
    <xf numFmtId="0" fontId="3" fillId="0" borderId="0" xfId="0" applyFont="1" applyFill="1" applyAlignment="1">
      <alignment horizontal="center" vertical="center"/>
    </xf>
    <xf numFmtId="0" fontId="39" fillId="0" borderId="0" xfId="0" applyFont="1" applyFill="1" applyAlignment="1">
      <alignment horizontal="center" vertical="center"/>
    </xf>
    <xf numFmtId="0" fontId="4" fillId="0" borderId="0" xfId="30" applyFont="1" applyFill="1" applyAlignment="1">
      <alignment horizontal="center" vertical="center"/>
    </xf>
    <xf numFmtId="0" fontId="33" fillId="0" borderId="0" xfId="0" applyFont="1" applyFill="1" applyAlignment="1">
      <alignment horizontal="center" vertical="center" wrapText="1"/>
    </xf>
    <xf numFmtId="0" fontId="38" fillId="0" borderId="0" xfId="20" applyFont="1" applyFill="1" applyAlignment="1">
      <alignment horizontal="center" vertical="center" wrapText="1"/>
    </xf>
    <xf numFmtId="0" fontId="39" fillId="0" borderId="0" xfId="0" applyFont="1" applyFill="1" applyAlignment="1">
      <alignment horizontal="center" vertical="center" wrapText="1"/>
    </xf>
    <xf numFmtId="0" fontId="38" fillId="0" borderId="0" xfId="20" applyFont="1" applyFill="1" applyBorder="1" applyAlignment="1">
      <alignment horizontal="center" vertical="center" wrapText="1"/>
    </xf>
    <xf numFmtId="0" fontId="44" fillId="0" borderId="0" xfId="30" applyFont="1" applyFill="1" applyAlignment="1">
      <alignment horizontal="center" vertical="center" wrapText="1"/>
    </xf>
    <xf numFmtId="0" fontId="9" fillId="0" borderId="0" xfId="11" applyFill="1" applyAlignment="1">
      <alignment horizontal="center" vertical="center"/>
    </xf>
    <xf numFmtId="10" fontId="3" fillId="11" borderId="40" xfId="29" applyNumberFormat="1" applyFont="1" applyFill="1" applyBorder="1" applyAlignment="1">
      <alignment horizontal="center" vertical="center"/>
    </xf>
    <xf numFmtId="9" fontId="3" fillId="11" borderId="40" xfId="29" applyFont="1" applyFill="1" applyBorder="1" applyAlignment="1">
      <alignment horizontal="center" vertical="center"/>
    </xf>
    <xf numFmtId="2" fontId="3" fillId="11" borderId="40" xfId="15" applyNumberFormat="1" applyFont="1" applyAlignment="1">
      <alignment horizontal="center" vertical="center"/>
    </xf>
    <xf numFmtId="164" fontId="3" fillId="11" borderId="40" xfId="15" applyNumberFormat="1" applyFont="1" applyAlignment="1">
      <alignment horizontal="center" vertical="center"/>
    </xf>
    <xf numFmtId="1" fontId="3" fillId="11" borderId="40" xfId="15" applyNumberFormat="1" applyFont="1" applyAlignment="1">
      <alignment horizontal="center" vertical="center"/>
    </xf>
    <xf numFmtId="0" fontId="0" fillId="0" borderId="46" xfId="30" applyFont="1" applyFill="1" applyBorder="1" applyAlignment="1" applyProtection="1">
      <alignment horizontal="left" vertical="center" wrapText="1"/>
      <protection locked="0"/>
    </xf>
    <xf numFmtId="0" fontId="0" fillId="0" borderId="0" xfId="0" applyFont="1" applyFill="1" applyAlignment="1">
      <alignment horizontal="center" vertical="center"/>
    </xf>
    <xf numFmtId="0" fontId="38" fillId="0" borderId="0" xfId="20" applyFont="1" applyFill="1" applyBorder="1" applyAlignment="1">
      <alignment horizontal="right" vertical="center" wrapText="1"/>
    </xf>
    <xf numFmtId="175" fontId="0" fillId="0" borderId="0" xfId="0" applyNumberFormat="1">
      <alignment vertical="center"/>
    </xf>
    <xf numFmtId="0" fontId="23" fillId="0" borderId="0" xfId="20" applyAlignment="1">
      <alignment vertical="center" wrapText="1"/>
    </xf>
    <xf numFmtId="0" fontId="0" fillId="0" borderId="0" xfId="0" quotePrefix="1" applyAlignment="1">
      <alignment vertical="center" wrapText="1"/>
    </xf>
    <xf numFmtId="0" fontId="0" fillId="0" borderId="56" xfId="0" quotePrefix="1" applyBorder="1" applyAlignment="1">
      <alignment horizontal="center" vertical="center" wrapText="1"/>
    </xf>
    <xf numFmtId="0" fontId="0" fillId="0" borderId="0" xfId="0" quotePrefix="1" applyBorder="1" applyAlignment="1">
      <alignment horizontal="center" vertical="center" wrapText="1"/>
    </xf>
    <xf numFmtId="0" fontId="0" fillId="0" borderId="57" xfId="0" quotePrefix="1" applyBorder="1" applyAlignment="1">
      <alignment horizontal="center" vertical="center" wrapText="1"/>
    </xf>
    <xf numFmtId="175" fontId="28" fillId="11" borderId="61" xfId="15" applyNumberFormat="1" applyFont="1" applyBorder="1" applyAlignment="1">
      <alignment horizontal="center" vertical="top"/>
    </xf>
    <xf numFmtId="173" fontId="3" fillId="19" borderId="46" xfId="16" applyNumberFormat="1" applyBorder="1" applyAlignment="1" applyProtection="1">
      <alignment horizontal="center" vertical="center"/>
      <protection locked="0"/>
    </xf>
    <xf numFmtId="1" fontId="24" fillId="7" borderId="27" xfId="14" applyNumberFormat="1" applyAlignment="1">
      <alignment horizontal="center" vertical="center"/>
    </xf>
    <xf numFmtId="0" fontId="0" fillId="0" borderId="0" xfId="0" applyFont="1" applyFill="1" applyAlignment="1">
      <alignment horizontal="right" vertical="center"/>
    </xf>
    <xf numFmtId="0" fontId="27" fillId="0" borderId="0" xfId="25" applyFill="1" applyBorder="1" applyAlignment="1">
      <alignment horizontal="center" vertical="center"/>
    </xf>
    <xf numFmtId="0" fontId="39" fillId="0" borderId="0" xfId="0" applyFont="1" applyFill="1" applyBorder="1" applyAlignment="1">
      <alignment horizontal="right" vertical="center"/>
    </xf>
    <xf numFmtId="2" fontId="4" fillId="0" borderId="0" xfId="0" applyNumberFormat="1" applyFont="1" applyFill="1" applyAlignment="1">
      <alignment horizontal="center" vertical="center"/>
    </xf>
    <xf numFmtId="0" fontId="3" fillId="0" borderId="0" xfId="0" applyFont="1" applyAlignment="1">
      <alignment horizontal="centerContinuous" vertical="center" wrapText="1"/>
    </xf>
    <xf numFmtId="0" fontId="0" fillId="0" borderId="0" xfId="0" applyFont="1" applyFill="1" applyBorder="1" applyAlignment="1">
      <alignment horizontal="right" vertical="center"/>
    </xf>
    <xf numFmtId="0" fontId="3" fillId="0" borderId="0" xfId="16" applyFont="1" applyFill="1" applyBorder="1" applyAlignment="1">
      <alignment horizontal="center" vertical="center"/>
    </xf>
    <xf numFmtId="0" fontId="4" fillId="0" borderId="0" xfId="0" applyFont="1" applyFill="1" applyBorder="1" applyAlignment="1">
      <alignment horizontal="center" vertical="center"/>
    </xf>
    <xf numFmtId="3" fontId="3" fillId="11" borderId="40" xfId="15" applyNumberFormat="1" applyFont="1" applyAlignment="1">
      <alignment horizontal="center" vertical="center"/>
    </xf>
    <xf numFmtId="0" fontId="23" fillId="0" borderId="0" xfId="20" applyFill="1" applyBorder="1" applyAlignment="1">
      <alignment horizontal="left" vertical="center"/>
    </xf>
    <xf numFmtId="0" fontId="23" fillId="0" borderId="0" xfId="20" applyFill="1" applyBorder="1" applyAlignment="1">
      <alignment vertical="center"/>
    </xf>
    <xf numFmtId="0" fontId="3" fillId="8" borderId="37" xfId="27" applyFont="1" applyBorder="1" applyAlignment="1">
      <alignment horizontal="center" vertical="center"/>
    </xf>
    <xf numFmtId="0" fontId="3" fillId="8" borderId="65" xfId="27" applyFont="1" applyBorder="1" applyAlignment="1">
      <alignment horizontal="center" vertical="center"/>
    </xf>
    <xf numFmtId="9" fontId="3" fillId="8" borderId="65" xfId="27" applyNumberFormat="1" applyFont="1" applyBorder="1" applyAlignment="1">
      <alignment horizontal="center" vertical="center"/>
    </xf>
    <xf numFmtId="9" fontId="3" fillId="8" borderId="65" xfId="29" applyFont="1" applyFill="1" applyBorder="1" applyAlignment="1">
      <alignment horizontal="center" vertical="center"/>
    </xf>
    <xf numFmtId="0" fontId="3" fillId="8" borderId="36" xfId="27" applyFont="1" applyBorder="1" applyAlignment="1">
      <alignment horizontal="left" vertical="center"/>
    </xf>
    <xf numFmtId="0" fontId="3" fillId="8" borderId="29" xfId="27" applyFont="1" applyBorder="1" applyAlignment="1">
      <alignment horizontal="left" vertical="center"/>
    </xf>
    <xf numFmtId="0" fontId="3" fillId="8" borderId="65" xfId="27" applyFont="1" applyBorder="1" applyAlignment="1">
      <alignment horizontal="left" vertical="center"/>
    </xf>
    <xf numFmtId="0" fontId="4" fillId="0" borderId="0" xfId="0" applyFont="1" applyBorder="1" applyAlignment="1">
      <alignment horizontal="left" vertical="center"/>
    </xf>
    <xf numFmtId="9" fontId="3" fillId="8" borderId="65" xfId="27" applyNumberFormat="1" applyFont="1" applyBorder="1" applyAlignment="1">
      <alignment horizontal="left" vertical="center"/>
    </xf>
    <xf numFmtId="9" fontId="3" fillId="8" borderId="65" xfId="29" applyFont="1" applyFill="1" applyBorder="1" applyAlignment="1">
      <alignment horizontal="left" vertical="center"/>
    </xf>
    <xf numFmtId="0" fontId="27" fillId="0" borderId="4" xfId="25" applyFill="1" applyBorder="1" applyAlignment="1"/>
    <xf numFmtId="0" fontId="4" fillId="0" borderId="0" xfId="0" applyFont="1" applyFill="1" applyBorder="1" applyAlignment="1">
      <alignment vertical="center"/>
    </xf>
    <xf numFmtId="180" fontId="23" fillId="0" borderId="0" xfId="20" applyNumberFormat="1" applyFill="1" applyBorder="1" applyAlignment="1">
      <alignment vertical="center"/>
    </xf>
    <xf numFmtId="0" fontId="23" fillId="0" borderId="0" xfId="20" applyFill="1" applyBorder="1" applyAlignment="1">
      <alignment horizontal="left" vertical="center"/>
    </xf>
    <xf numFmtId="0" fontId="32" fillId="0" borderId="0" xfId="20" applyFont="1" applyFill="1" applyAlignment="1">
      <alignment vertical="center"/>
    </xf>
    <xf numFmtId="0" fontId="27" fillId="0" borderId="4" xfId="25" applyBorder="1" applyAlignment="1">
      <alignment vertical="center"/>
    </xf>
    <xf numFmtId="174" fontId="3" fillId="8" borderId="27" xfId="29" applyNumberFormat="1" applyFont="1" applyFill="1" applyBorder="1" applyAlignment="1">
      <alignment horizontal="center" vertical="center"/>
    </xf>
    <xf numFmtId="0" fontId="32" fillId="0" borderId="0" xfId="20" applyFont="1" applyFill="1" applyBorder="1" applyAlignment="1">
      <alignment horizontal="left" vertical="center"/>
    </xf>
    <xf numFmtId="0" fontId="0" fillId="0" borderId="0" xfId="0" applyNumberFormat="1" applyFont="1" applyAlignment="1">
      <alignment horizontal="center" vertical="center"/>
    </xf>
    <xf numFmtId="0" fontId="0" fillId="4" borderId="29" xfId="4" applyFont="1" applyBorder="1" applyAlignment="1">
      <alignment horizontal="center" vertical="center"/>
      <protection hidden="1"/>
    </xf>
    <xf numFmtId="0" fontId="23" fillId="0" borderId="0" xfId="20" applyFill="1" applyBorder="1" applyAlignment="1">
      <alignment vertical="center" wrapText="1"/>
    </xf>
    <xf numFmtId="0" fontId="27" fillId="0" borderId="0" xfId="25" applyFill="1" applyBorder="1" applyAlignment="1"/>
    <xf numFmtId="0" fontId="3" fillId="8" borderId="37" xfId="27" applyFont="1" applyBorder="1" applyAlignment="1">
      <alignment horizontal="left" vertical="center"/>
    </xf>
    <xf numFmtId="0" fontId="33" fillId="0" borderId="0" xfId="0" applyFont="1" applyFill="1" applyBorder="1" applyAlignment="1">
      <alignment horizontal="left" vertical="center"/>
    </xf>
    <xf numFmtId="0" fontId="33" fillId="0" borderId="0" xfId="0" applyFont="1">
      <alignment vertical="center"/>
    </xf>
    <xf numFmtId="0" fontId="3" fillId="0" borderId="46" xfId="30" applyFont="1" applyFill="1" applyBorder="1" applyAlignment="1">
      <alignment vertical="center" wrapText="1"/>
    </xf>
    <xf numFmtId="0" fontId="35" fillId="0" borderId="46" xfId="30" applyFont="1" applyFill="1" applyBorder="1" applyAlignment="1">
      <alignment vertical="center"/>
    </xf>
    <xf numFmtId="0" fontId="0" fillId="0" borderId="46" xfId="30" applyNumberFormat="1" applyFont="1" applyFill="1" applyBorder="1" applyAlignment="1">
      <alignment vertical="center"/>
    </xf>
    <xf numFmtId="0" fontId="0" fillId="0" borderId="46" xfId="30" applyFont="1" applyBorder="1" applyAlignment="1">
      <alignment vertical="center" wrapText="1"/>
    </xf>
    <xf numFmtId="0" fontId="0" fillId="0" borderId="46" xfId="30" applyFont="1" applyBorder="1" applyAlignment="1">
      <alignment vertical="center"/>
    </xf>
    <xf numFmtId="0" fontId="0" fillId="0" borderId="46" xfId="32" applyNumberFormat="1" applyFont="1" applyFill="1" applyBorder="1" applyAlignment="1" applyProtection="1">
      <alignment horizontal="left" vertical="center"/>
      <protection locked="0"/>
    </xf>
    <xf numFmtId="0" fontId="0" fillId="0" borderId="46" xfId="30" applyNumberFormat="1" applyFont="1" applyFill="1" applyBorder="1" applyAlignment="1">
      <alignment horizontal="left" vertical="center"/>
    </xf>
    <xf numFmtId="2" fontId="0" fillId="0" borderId="46" xfId="0" applyNumberFormat="1" applyFont="1" applyFill="1" applyBorder="1">
      <alignment vertical="center"/>
    </xf>
    <xf numFmtId="0" fontId="38" fillId="0" borderId="0" xfId="20" applyFont="1" applyFill="1" applyBorder="1" applyAlignment="1">
      <alignment horizontal="right" vertical="center" wrapText="1"/>
    </xf>
    <xf numFmtId="172" fontId="3" fillId="11" borderId="46" xfId="15" applyNumberFormat="1" applyBorder="1" applyAlignment="1">
      <alignment vertical="center"/>
    </xf>
    <xf numFmtId="2" fontId="4" fillId="0" borderId="0" xfId="0" applyNumberFormat="1" applyFont="1" applyFill="1">
      <alignment vertical="center"/>
    </xf>
    <xf numFmtId="0" fontId="33" fillId="0" borderId="0" xfId="16" applyFont="1" applyFill="1" applyAlignment="1">
      <alignment horizontal="center" vertical="center"/>
    </xf>
    <xf numFmtId="181" fontId="0" fillId="0" borderId="46" xfId="30" applyNumberFormat="1" applyFont="1" applyFill="1" applyBorder="1" applyAlignment="1">
      <alignment vertical="center"/>
    </xf>
    <xf numFmtId="43" fontId="4" fillId="0" borderId="0" xfId="34" applyFont="1" applyFill="1" applyAlignment="1">
      <alignment horizontal="center" vertical="center"/>
    </xf>
    <xf numFmtId="43" fontId="33" fillId="0" borderId="0" xfId="34" applyFont="1" applyFill="1" applyAlignment="1">
      <alignment horizontal="center" vertical="center"/>
    </xf>
    <xf numFmtId="43" fontId="3" fillId="11" borderId="45" xfId="34" applyFont="1" applyFill="1" applyBorder="1" applyAlignment="1">
      <alignment horizontal="center" vertical="center"/>
    </xf>
    <xf numFmtId="43" fontId="3" fillId="11" borderId="40" xfId="34" applyFont="1" applyFill="1" applyBorder="1" applyAlignment="1">
      <alignment horizontal="center" vertical="center"/>
    </xf>
    <xf numFmtId="43" fontId="3" fillId="0" borderId="0" xfId="34" applyFont="1" applyFill="1" applyAlignment="1">
      <alignment horizontal="center" vertical="center"/>
    </xf>
    <xf numFmtId="43" fontId="24" fillId="7" borderId="27" xfId="34" applyFont="1" applyFill="1" applyBorder="1" applyAlignment="1">
      <alignment horizontal="center" vertical="center"/>
    </xf>
    <xf numFmtId="43" fontId="39" fillId="0" borderId="0" xfId="34" applyFont="1" applyFill="1" applyAlignment="1">
      <alignment horizontal="center" vertical="center"/>
    </xf>
    <xf numFmtId="43" fontId="3" fillId="11" borderId="63" xfId="34" applyFont="1" applyFill="1" applyBorder="1" applyAlignment="1">
      <alignment horizontal="center" vertical="center"/>
    </xf>
    <xf numFmtId="43" fontId="3" fillId="0" borderId="0" xfId="34" applyFont="1" applyFill="1" applyBorder="1" applyAlignment="1">
      <alignment horizontal="center" vertical="center"/>
    </xf>
    <xf numFmtId="43" fontId="39" fillId="0" borderId="27" xfId="34" applyFont="1" applyFill="1" applyBorder="1" applyAlignment="1">
      <alignment horizontal="center" vertical="center"/>
    </xf>
    <xf numFmtId="43" fontId="3" fillId="0" borderId="27" xfId="34" applyFont="1" applyFill="1" applyBorder="1" applyAlignment="1">
      <alignment horizontal="center" vertical="center"/>
    </xf>
    <xf numFmtId="43" fontId="0" fillId="0" borderId="0" xfId="34" applyFont="1" applyFill="1" applyAlignment="1">
      <alignment horizontal="center" vertical="center"/>
    </xf>
    <xf numFmtId="0" fontId="23" fillId="0" borderId="47" xfId="20" applyFill="1" applyBorder="1" applyAlignment="1">
      <alignment vertical="center" wrapText="1"/>
    </xf>
    <xf numFmtId="0" fontId="23" fillId="0" borderId="5" xfId="20" applyFill="1" applyBorder="1" applyAlignment="1">
      <alignment vertical="center" wrapText="1"/>
    </xf>
    <xf numFmtId="0" fontId="3" fillId="0" borderId="0" xfId="30" applyFont="1" applyFill="1" applyBorder="1" applyAlignment="1">
      <alignment horizontal="left" vertical="center" wrapText="1"/>
    </xf>
    <xf numFmtId="0" fontId="3" fillId="0" borderId="0" xfId="30" applyFont="1" applyFill="1" applyBorder="1" applyAlignment="1">
      <alignment vertical="center"/>
    </xf>
    <xf numFmtId="2" fontId="0" fillId="0" borderId="0" xfId="0" applyNumberFormat="1" applyFont="1" applyFill="1" applyBorder="1">
      <alignment vertical="center"/>
    </xf>
    <xf numFmtId="0" fontId="0" fillId="0" borderId="0" xfId="30" applyFont="1" applyFill="1" applyBorder="1" applyAlignment="1">
      <alignment vertical="center"/>
    </xf>
    <xf numFmtId="0" fontId="3" fillId="0" borderId="0" xfId="30" applyFont="1" applyFill="1" applyBorder="1" applyAlignment="1" applyProtection="1">
      <alignment horizontal="left" vertical="center" wrapText="1"/>
      <protection locked="0"/>
    </xf>
    <xf numFmtId="0" fontId="35" fillId="0" borderId="0" xfId="30" applyFont="1" applyFill="1" applyBorder="1" applyAlignment="1">
      <alignment vertical="center"/>
    </xf>
    <xf numFmtId="172" fontId="3" fillId="0" borderId="0" xfId="15" applyNumberFormat="1" applyFill="1" applyBorder="1" applyAlignment="1">
      <alignment vertical="center"/>
    </xf>
    <xf numFmtId="0" fontId="14" fillId="0" borderId="0" xfId="0" applyFont="1" applyFill="1" applyBorder="1">
      <alignment vertical="center"/>
    </xf>
    <xf numFmtId="43" fontId="3" fillId="11" borderId="46" xfId="15" applyNumberFormat="1" applyBorder="1" applyAlignment="1">
      <alignment vertical="center"/>
    </xf>
    <xf numFmtId="43" fontId="3" fillId="0" borderId="0" xfId="15" applyNumberFormat="1" applyFont="1" applyFill="1" applyBorder="1" applyAlignment="1" applyProtection="1">
      <alignment horizontal="center" vertical="center"/>
      <protection locked="0"/>
    </xf>
    <xf numFmtId="2" fontId="0" fillId="0" borderId="0" xfId="0" applyNumberFormat="1" applyFill="1">
      <alignment vertical="center"/>
    </xf>
    <xf numFmtId="43" fontId="3" fillId="11" borderId="46" xfId="15" applyNumberFormat="1" applyBorder="1" applyAlignment="1" applyProtection="1">
      <alignment horizontal="left" vertical="center" wrapText="1"/>
      <protection locked="0"/>
    </xf>
    <xf numFmtId="43" fontId="3" fillId="11" borderId="46" xfId="15" applyNumberFormat="1" applyBorder="1" applyAlignment="1" applyProtection="1">
      <alignment horizontal="center" vertical="center"/>
      <protection locked="0"/>
    </xf>
    <xf numFmtId="43" fontId="3" fillId="0" borderId="67" xfId="15" applyNumberFormat="1" applyFill="1" applyBorder="1" applyAlignment="1" applyProtection="1">
      <alignment horizontal="center" vertical="center"/>
      <protection locked="0"/>
    </xf>
    <xf numFmtId="178" fontId="3" fillId="11" borderId="46" xfId="15" applyNumberFormat="1" applyBorder="1" applyAlignment="1" applyProtection="1">
      <alignment horizontal="center" vertical="center"/>
      <protection locked="0"/>
    </xf>
    <xf numFmtId="179" fontId="3" fillId="11" borderId="46" xfId="15" applyNumberFormat="1" applyBorder="1" applyAlignment="1" applyProtection="1">
      <alignment horizontal="center" vertical="center"/>
      <protection locked="0"/>
    </xf>
    <xf numFmtId="179" fontId="3" fillId="0" borderId="67" xfId="15" applyNumberFormat="1" applyFill="1" applyBorder="1" applyAlignment="1" applyProtection="1">
      <alignment horizontal="center" vertical="center"/>
      <protection locked="0"/>
    </xf>
    <xf numFmtId="0" fontId="0" fillId="0" borderId="46" xfId="0" applyFont="1" applyFill="1" applyBorder="1">
      <alignment vertical="center"/>
    </xf>
    <xf numFmtId="43" fontId="3" fillId="11" borderId="46" xfId="15" applyNumberFormat="1" applyBorder="1" applyAlignment="1">
      <alignment horizontal="right" vertical="center"/>
    </xf>
    <xf numFmtId="43" fontId="3" fillId="11" borderId="46" xfId="15" applyNumberFormat="1" applyFont="1" applyBorder="1" applyAlignment="1" applyProtection="1">
      <alignment horizontal="right" vertical="center"/>
      <protection locked="0"/>
    </xf>
    <xf numFmtId="2" fontId="3" fillId="22" borderId="42" xfId="35" applyNumberFormat="1" applyFont="1" applyFill="1" applyBorder="1" applyAlignment="1">
      <alignment horizontal="right" vertical="center"/>
    </xf>
    <xf numFmtId="0" fontId="38" fillId="23" borderId="42" xfId="20" applyFont="1" applyFill="1" applyBorder="1" applyAlignment="1">
      <alignment horizontal="right" vertical="center"/>
    </xf>
    <xf numFmtId="2" fontId="3" fillId="22" borderId="0" xfId="35" applyNumberFormat="1" applyFont="1" applyFill="1" applyBorder="1" applyAlignment="1">
      <alignment horizontal="right" vertical="center"/>
    </xf>
    <xf numFmtId="0" fontId="38" fillId="23" borderId="0" xfId="20" applyFont="1" applyFill="1" applyBorder="1" applyAlignment="1">
      <alignment horizontal="right" vertical="center"/>
    </xf>
    <xf numFmtId="0" fontId="4" fillId="0" borderId="0" xfId="0" applyFont="1" applyFill="1" applyAlignment="1">
      <alignment horizontal="right" vertical="center"/>
    </xf>
    <xf numFmtId="0" fontId="3" fillId="19" borderId="0" xfId="16" applyAlignment="1">
      <alignment horizontal="right" vertical="center"/>
    </xf>
    <xf numFmtId="172" fontId="27" fillId="0" borderId="0" xfId="25" applyNumberFormat="1" applyBorder="1" applyAlignment="1">
      <alignment horizontal="right" vertical="center"/>
    </xf>
    <xf numFmtId="0" fontId="27" fillId="0" borderId="0" xfId="25" applyBorder="1" applyAlignment="1">
      <alignment horizontal="right" vertical="center"/>
    </xf>
    <xf numFmtId="0" fontId="27" fillId="0" borderId="0" xfId="25" applyFill="1" applyBorder="1" applyAlignment="1">
      <alignment horizontal="right" vertical="center"/>
    </xf>
    <xf numFmtId="0" fontId="27" fillId="0" borderId="26" xfId="25" applyBorder="1" applyAlignment="1">
      <alignment horizontal="right" vertical="center"/>
    </xf>
    <xf numFmtId="2" fontId="3" fillId="22" borderId="42" xfId="16" applyNumberFormat="1" applyFont="1" applyFill="1" applyBorder="1" applyAlignment="1">
      <alignment horizontal="right" vertical="center"/>
    </xf>
    <xf numFmtId="0" fontId="3" fillId="22" borderId="42" xfId="16" applyFont="1" applyFill="1" applyBorder="1" applyAlignment="1">
      <alignment horizontal="right" vertical="center"/>
    </xf>
    <xf numFmtId="174" fontId="3" fillId="22" borderId="42" xfId="15" applyNumberFormat="1" applyFont="1" applyFill="1" applyBorder="1" applyAlignment="1">
      <alignment horizontal="right" vertical="center"/>
    </xf>
    <xf numFmtId="43" fontId="3" fillId="23" borderId="0" xfId="34" applyFont="1" applyFill="1" applyBorder="1" applyAlignment="1">
      <alignment horizontal="right" vertical="center"/>
    </xf>
    <xf numFmtId="0" fontId="3" fillId="23" borderId="42" xfId="16" applyFont="1" applyFill="1" applyBorder="1" applyAlignment="1">
      <alignment horizontal="right" vertical="center"/>
    </xf>
    <xf numFmtId="174" fontId="3" fillId="23" borderId="42" xfId="29" applyNumberFormat="1" applyFont="1" applyFill="1" applyBorder="1" applyAlignment="1">
      <alignment horizontal="right" vertical="center"/>
    </xf>
    <xf numFmtId="2" fontId="3" fillId="22" borderId="0" xfId="16" applyNumberFormat="1" applyFont="1" applyFill="1" applyBorder="1" applyAlignment="1">
      <alignment horizontal="right" vertical="center"/>
    </xf>
    <xf numFmtId="0" fontId="3" fillId="22" borderId="0" xfId="16" applyFont="1" applyFill="1" applyBorder="1" applyAlignment="1">
      <alignment horizontal="right" vertical="center"/>
    </xf>
    <xf numFmtId="174" fontId="3" fillId="22" borderId="0" xfId="15" applyNumberFormat="1" applyFont="1" applyFill="1" applyBorder="1" applyAlignment="1">
      <alignment horizontal="right" vertical="center"/>
    </xf>
    <xf numFmtId="0" fontId="3" fillId="23" borderId="0" xfId="16" applyFont="1" applyFill="1" applyBorder="1" applyAlignment="1">
      <alignment horizontal="right" vertical="center"/>
    </xf>
    <xf numFmtId="174" fontId="3" fillId="23" borderId="0" xfId="15" applyNumberFormat="1" applyFont="1" applyFill="1" applyBorder="1" applyAlignment="1">
      <alignment horizontal="right" vertical="center"/>
    </xf>
    <xf numFmtId="2" fontId="3" fillId="22" borderId="26" xfId="16" applyNumberFormat="1" applyFont="1" applyFill="1" applyBorder="1" applyAlignment="1">
      <alignment horizontal="right" vertical="center"/>
    </xf>
    <xf numFmtId="0" fontId="3" fillId="22" borderId="26" xfId="16" applyFont="1" applyFill="1" applyBorder="1" applyAlignment="1">
      <alignment horizontal="right" vertical="center"/>
    </xf>
    <xf numFmtId="174" fontId="3" fillId="22" borderId="26" xfId="15" applyNumberFormat="1" applyFont="1" applyFill="1" applyBorder="1" applyAlignment="1">
      <alignment horizontal="right" vertical="center"/>
    </xf>
    <xf numFmtId="43" fontId="3" fillId="23" borderId="26" xfId="34" applyFont="1" applyFill="1" applyBorder="1" applyAlignment="1">
      <alignment horizontal="right" vertical="center"/>
    </xf>
    <xf numFmtId="0" fontId="3" fillId="23" borderId="26" xfId="16" applyFont="1" applyFill="1" applyBorder="1" applyAlignment="1">
      <alignment horizontal="right" vertical="center"/>
    </xf>
    <xf numFmtId="174" fontId="3" fillId="23" borderId="26" xfId="15" applyNumberFormat="1" applyFont="1" applyFill="1" applyBorder="1" applyAlignment="1">
      <alignment horizontal="right" vertical="center"/>
    </xf>
    <xf numFmtId="2" fontId="39" fillId="0" borderId="0" xfId="15" applyNumberFormat="1" applyFont="1" applyFill="1" applyBorder="1" applyAlignment="1">
      <alignment horizontal="right" vertical="center"/>
    </xf>
    <xf numFmtId="0" fontId="39" fillId="0" borderId="0" xfId="16" applyFont="1" applyFill="1" applyBorder="1" applyAlignment="1">
      <alignment horizontal="right" vertical="center"/>
    </xf>
    <xf numFmtId="9" fontId="3" fillId="0" borderId="0" xfId="0" applyNumberFormat="1" applyFont="1" applyFill="1" applyBorder="1" applyAlignment="1">
      <alignment horizontal="right" vertical="center"/>
    </xf>
    <xf numFmtId="43" fontId="39" fillId="0" borderId="0" xfId="34" applyFont="1" applyFill="1" applyBorder="1" applyAlignment="1">
      <alignment horizontal="right" vertical="center"/>
    </xf>
    <xf numFmtId="174" fontId="39" fillId="0" borderId="0" xfId="0" applyNumberFormat="1" applyFont="1" applyFill="1" applyBorder="1" applyAlignment="1">
      <alignment horizontal="right" vertical="center"/>
    </xf>
    <xf numFmtId="43" fontId="4" fillId="0" borderId="0" xfId="34" applyFont="1" applyFill="1" applyAlignment="1">
      <alignment horizontal="right" vertical="center"/>
    </xf>
    <xf numFmtId="43" fontId="27" fillId="0" borderId="0" xfId="34" applyFont="1" applyBorder="1" applyAlignment="1">
      <alignment horizontal="right" vertical="center"/>
    </xf>
    <xf numFmtId="43" fontId="3" fillId="23" borderId="42" xfId="34" applyFont="1" applyFill="1" applyBorder="1" applyAlignment="1">
      <alignment horizontal="right" vertical="center"/>
    </xf>
    <xf numFmtId="174" fontId="3" fillId="23" borderId="42" xfId="15" applyNumberFormat="1" applyFont="1" applyFill="1" applyBorder="1" applyAlignment="1">
      <alignment horizontal="right" vertical="center"/>
    </xf>
    <xf numFmtId="9" fontId="39" fillId="0" borderId="0" xfId="0" applyNumberFormat="1" applyFont="1" applyFill="1" applyBorder="1" applyAlignment="1">
      <alignment horizontal="right" vertical="center"/>
    </xf>
    <xf numFmtId="2" fontId="4" fillId="0" borderId="0" xfId="0" applyNumberFormat="1" applyFont="1" applyFill="1" applyAlignment="1">
      <alignment horizontal="right" vertical="center"/>
    </xf>
    <xf numFmtId="2" fontId="14" fillId="0" borderId="0" xfId="0" applyNumberFormat="1" applyFont="1" applyFill="1" applyAlignment="1">
      <alignment horizontal="right" vertical="center"/>
    </xf>
    <xf numFmtId="0" fontId="27" fillId="0" borderId="26" xfId="25" applyFill="1" applyBorder="1" applyAlignment="1">
      <alignment horizontal="right" vertical="center"/>
    </xf>
    <xf numFmtId="0" fontId="3" fillId="22" borderId="42" xfId="35" applyFont="1" applyFill="1" applyBorder="1" applyAlignment="1">
      <alignment horizontal="right" vertical="center"/>
    </xf>
    <xf numFmtId="174" fontId="3" fillId="22" borderId="0" xfId="29" applyNumberFormat="1" applyFont="1" applyFill="1" applyBorder="1" applyAlignment="1">
      <alignment horizontal="right" vertical="center"/>
    </xf>
    <xf numFmtId="0" fontId="3" fillId="22" borderId="0" xfId="35" applyFont="1" applyFill="1" applyBorder="1" applyAlignment="1">
      <alignment horizontal="right" vertical="center"/>
    </xf>
    <xf numFmtId="2" fontId="3" fillId="22" borderId="26" xfId="35" applyNumberFormat="1" applyFont="1" applyFill="1" applyBorder="1" applyAlignment="1">
      <alignment horizontal="right" vertical="center"/>
    </xf>
    <xf numFmtId="0" fontId="3" fillId="22" borderId="26" xfId="35" applyFont="1" applyFill="1" applyBorder="1" applyAlignment="1">
      <alignment horizontal="right" vertical="center"/>
    </xf>
    <xf numFmtId="174" fontId="3" fillId="22" borderId="26" xfId="29" applyNumberFormat="1" applyFont="1" applyFill="1" applyBorder="1" applyAlignment="1">
      <alignment horizontal="right" vertical="center"/>
    </xf>
    <xf numFmtId="172" fontId="27" fillId="0" borderId="26" xfId="25" applyNumberFormat="1" applyBorder="1" applyAlignment="1">
      <alignment horizontal="right" vertical="center"/>
    </xf>
    <xf numFmtId="43" fontId="27" fillId="0" borderId="26" xfId="34" applyFont="1" applyBorder="1" applyAlignment="1">
      <alignment horizontal="right" vertical="center"/>
    </xf>
    <xf numFmtId="0" fontId="0" fillId="22" borderId="0" xfId="0" applyFill="1" applyBorder="1" applyAlignment="1">
      <alignment horizontal="right" vertical="center"/>
    </xf>
    <xf numFmtId="0" fontId="0" fillId="23" borderId="0" xfId="0" applyFill="1" applyBorder="1" applyAlignment="1">
      <alignment horizontal="right" vertical="center"/>
    </xf>
    <xf numFmtId="2" fontId="0" fillId="22" borderId="0" xfId="0" applyNumberFormat="1" applyFill="1" applyBorder="1" applyAlignment="1">
      <alignment horizontal="right" vertical="center"/>
    </xf>
    <xf numFmtId="2" fontId="0" fillId="23" borderId="0" xfId="0" applyNumberFormat="1" applyFill="1" applyBorder="1" applyAlignment="1">
      <alignment horizontal="right" vertical="center"/>
    </xf>
    <xf numFmtId="2" fontId="38" fillId="23" borderId="0" xfId="20" applyNumberFormat="1" applyFont="1" applyFill="1" applyBorder="1" applyAlignment="1">
      <alignment horizontal="right" vertical="center"/>
    </xf>
    <xf numFmtId="2" fontId="3" fillId="23" borderId="26" xfId="34" applyNumberFormat="1" applyFont="1" applyFill="1" applyBorder="1" applyAlignment="1">
      <alignment horizontal="right" vertical="center"/>
    </xf>
    <xf numFmtId="2" fontId="39" fillId="0" borderId="0" xfId="34" applyNumberFormat="1" applyFont="1" applyFill="1" applyBorder="1" applyAlignment="1">
      <alignment horizontal="right" vertical="center"/>
    </xf>
    <xf numFmtId="2" fontId="38" fillId="23" borderId="42" xfId="20" applyNumberFormat="1" applyFont="1" applyFill="1" applyBorder="1" applyAlignment="1">
      <alignment horizontal="right" vertical="center"/>
    </xf>
    <xf numFmtId="2" fontId="3" fillId="0" borderId="26" xfId="0" applyNumberFormat="1" applyFont="1" applyFill="1" applyBorder="1" applyAlignment="1">
      <alignment horizontal="right" vertical="center"/>
    </xf>
    <xf numFmtId="0" fontId="3" fillId="0" borderId="26" xfId="0" applyFont="1" applyFill="1" applyBorder="1" applyAlignment="1">
      <alignment horizontal="right" vertical="center"/>
    </xf>
    <xf numFmtId="43" fontId="3" fillId="19" borderId="0" xfId="16" applyNumberFormat="1" applyAlignment="1">
      <alignment vertical="center"/>
    </xf>
    <xf numFmtId="43" fontId="3" fillId="11" borderId="46" xfId="36" applyNumberFormat="1" applyFont="1" applyFill="1" applyBorder="1" applyAlignment="1">
      <alignment horizontal="center" vertical="center"/>
    </xf>
    <xf numFmtId="2" fontId="3" fillId="11" borderId="40" xfId="34" applyNumberFormat="1" applyFont="1" applyFill="1" applyBorder="1" applyAlignment="1">
      <alignment horizontal="right" vertical="center"/>
    </xf>
    <xf numFmtId="43" fontId="3" fillId="0" borderId="40" xfId="34" applyFont="1" applyFill="1" applyBorder="1" applyAlignment="1">
      <alignment horizontal="right" vertical="center"/>
    </xf>
    <xf numFmtId="43" fontId="39" fillId="0" borderId="27" xfId="34" applyFont="1" applyFill="1" applyBorder="1" applyAlignment="1">
      <alignment horizontal="right" vertical="center"/>
    </xf>
    <xf numFmtId="43" fontId="3" fillId="0" borderId="0" xfId="34" applyFont="1" applyFill="1" applyAlignment="1">
      <alignment horizontal="right" vertical="center"/>
    </xf>
    <xf numFmtId="43" fontId="24" fillId="7" borderId="27" xfId="34" applyFont="1" applyFill="1" applyBorder="1" applyAlignment="1">
      <alignment horizontal="right" vertical="center"/>
    </xf>
    <xf numFmtId="43" fontId="3" fillId="11" borderId="63" xfId="34" applyFont="1" applyFill="1" applyBorder="1" applyAlignment="1">
      <alignment horizontal="right" vertical="center"/>
    </xf>
    <xf numFmtId="2" fontId="3" fillId="0" borderId="40" xfId="34" applyNumberFormat="1" applyFont="1" applyFill="1" applyBorder="1" applyAlignment="1">
      <alignment horizontal="right" vertical="center"/>
    </xf>
    <xf numFmtId="2" fontId="33" fillId="0" borderId="40" xfId="34" applyNumberFormat="1" applyFont="1" applyFill="1" applyBorder="1" applyAlignment="1">
      <alignment horizontal="right" vertical="center"/>
    </xf>
    <xf numFmtId="178" fontId="3" fillId="11" borderId="63" xfId="34" applyNumberFormat="1" applyFont="1" applyFill="1" applyBorder="1" applyAlignment="1">
      <alignment horizontal="right" vertical="center"/>
    </xf>
    <xf numFmtId="3" fontId="3" fillId="9" borderId="27" xfId="34" applyNumberFormat="1" applyFont="1" applyFill="1" applyBorder="1" applyAlignment="1" applyProtection="1">
      <alignment horizontal="center" vertical="center"/>
      <protection locked="0"/>
    </xf>
    <xf numFmtId="43" fontId="33" fillId="11" borderId="46" xfId="15" applyNumberFormat="1" applyFont="1" applyBorder="1" applyAlignment="1" applyProtection="1">
      <alignment horizontal="right" vertical="center"/>
      <protection locked="0"/>
    </xf>
    <xf numFmtId="0" fontId="3" fillId="8" borderId="66" xfId="27" applyBorder="1" applyAlignment="1">
      <alignment horizontal="center" vertical="center"/>
    </xf>
    <xf numFmtId="174" fontId="3" fillId="11" borderId="40" xfId="29" applyNumberFormat="1" applyFont="1" applyFill="1" applyBorder="1" applyAlignment="1">
      <alignment horizontal="center" vertical="center"/>
    </xf>
    <xf numFmtId="0" fontId="23" fillId="0" borderId="0" xfId="20" applyAlignment="1">
      <alignment horizontal="right" vertical="center" wrapText="1"/>
    </xf>
    <xf numFmtId="164" fontId="3" fillId="8" borderId="27" xfId="27" applyNumberFormat="1" applyFont="1" applyAlignment="1">
      <alignment horizontal="center" vertical="center"/>
    </xf>
    <xf numFmtId="0" fontId="49" fillId="0" borderId="0" xfId="0" applyFont="1" applyFill="1">
      <alignment vertical="center"/>
    </xf>
    <xf numFmtId="0" fontId="25" fillId="0" borderId="0" xfId="17" applyFont="1" applyBorder="1" applyAlignment="1" applyProtection="1">
      <alignment horizontal="center"/>
      <protection locked="0"/>
    </xf>
    <xf numFmtId="0" fontId="26" fillId="0" borderId="0" xfId="24" applyFill="1" applyAlignment="1" applyProtection="1">
      <alignment vertical="center"/>
      <protection locked="0"/>
    </xf>
    <xf numFmtId="0" fontId="4" fillId="0" borderId="0" xfId="0" applyFont="1" applyFill="1" applyBorder="1" applyProtection="1">
      <alignment vertical="center"/>
      <protection locked="0"/>
    </xf>
    <xf numFmtId="0" fontId="23" fillId="0" borderId="0" xfId="20" applyFont="1" applyFill="1" applyAlignment="1" applyProtection="1">
      <alignment vertical="center"/>
      <protection locked="0"/>
    </xf>
    <xf numFmtId="0" fontId="27" fillId="0" borderId="0" xfId="25" applyFill="1" applyAlignment="1" applyProtection="1">
      <alignment vertical="center"/>
      <protection locked="0"/>
    </xf>
    <xf numFmtId="0" fontId="27" fillId="0" borderId="0" xfId="25" applyFill="1" applyAlignment="1" applyProtection="1">
      <alignment horizontal="right" vertical="center"/>
      <protection locked="0"/>
    </xf>
    <xf numFmtId="0" fontId="23" fillId="0" borderId="0" xfId="20" applyFont="1" applyFill="1" applyAlignment="1" applyProtection="1">
      <alignment horizontal="right" vertical="center"/>
      <protection locked="0"/>
    </xf>
    <xf numFmtId="0" fontId="23" fillId="0" borderId="0" xfId="20" applyFill="1" applyAlignment="1" applyProtection="1">
      <alignment horizontal="right" vertical="center"/>
      <protection locked="0"/>
    </xf>
    <xf numFmtId="0" fontId="4" fillId="0" borderId="0" xfId="0" applyFont="1" applyFill="1" applyProtection="1">
      <alignment vertical="center"/>
      <protection locked="0"/>
    </xf>
    <xf numFmtId="0" fontId="14" fillId="0" borderId="0" xfId="0" applyFont="1" applyFill="1" applyBorder="1" applyProtection="1">
      <alignment vertical="center"/>
      <protection locked="0"/>
    </xf>
    <xf numFmtId="0" fontId="14" fillId="0" borderId="46" xfId="30" applyFont="1" applyFill="1" applyBorder="1" applyAlignment="1" applyProtection="1">
      <alignment horizontal="left" vertical="center" wrapText="1"/>
      <protection locked="0"/>
    </xf>
    <xf numFmtId="10" fontId="33" fillId="9" borderId="43" xfId="13" applyNumberFormat="1" applyFont="1" applyBorder="1" applyAlignment="1" applyProtection="1">
      <alignment horizontal="center" vertical="center"/>
      <protection locked="0"/>
    </xf>
    <xf numFmtId="0" fontId="3" fillId="9" borderId="27" xfId="13" applyNumberFormat="1" applyFont="1" applyAlignment="1" applyProtection="1">
      <alignment horizontal="center" vertical="center"/>
      <protection locked="0"/>
    </xf>
    <xf numFmtId="9" fontId="3" fillId="9" borderId="27" xfId="13" applyNumberFormat="1" applyFont="1" applyAlignment="1" applyProtection="1">
      <alignment horizontal="center" vertical="center"/>
      <protection locked="0"/>
    </xf>
    <xf numFmtId="9" fontId="33" fillId="9" borderId="27" xfId="13" applyNumberFormat="1" applyFont="1" applyAlignment="1" applyProtection="1">
      <alignment horizontal="center" vertical="center"/>
      <protection locked="0"/>
    </xf>
    <xf numFmtId="0" fontId="4" fillId="0" borderId="0" xfId="0" applyNumberFormat="1" applyFont="1" applyAlignment="1" applyProtection="1">
      <alignment horizontal="center" vertical="center"/>
      <protection locked="0"/>
    </xf>
    <xf numFmtId="0" fontId="4" fillId="0" borderId="0" xfId="0" applyFont="1" applyFill="1" applyAlignment="1" applyProtection="1">
      <alignment horizontal="center" vertical="center"/>
      <protection locked="0"/>
    </xf>
    <xf numFmtId="172" fontId="27" fillId="0" borderId="4" xfId="25" applyNumberFormat="1" applyFill="1" applyBorder="1" applyAlignment="1" applyProtection="1">
      <alignment horizontal="center" vertical="center"/>
      <protection locked="0"/>
    </xf>
    <xf numFmtId="0" fontId="33" fillId="9" borderId="27" xfId="13" applyNumberFormat="1" applyFont="1" applyAlignment="1" applyProtection="1">
      <alignment horizontal="center" vertical="center"/>
      <protection locked="0"/>
    </xf>
    <xf numFmtId="164" fontId="3" fillId="9" borderId="27" xfId="13" applyNumberFormat="1" applyFont="1" applyAlignment="1" applyProtection="1">
      <alignment horizontal="center" vertical="center"/>
      <protection locked="0"/>
    </xf>
    <xf numFmtId="3" fontId="3" fillId="9" borderId="27" xfId="13" applyNumberFormat="1" applyFont="1" applyAlignment="1" applyProtection="1">
      <alignment horizontal="center" vertical="center"/>
      <protection locked="0"/>
    </xf>
    <xf numFmtId="0" fontId="4" fillId="0" borderId="0" xfId="0" applyFont="1" applyFill="1" applyAlignment="1" applyProtection="1">
      <alignment horizontal="right" vertical="center"/>
      <protection locked="0"/>
    </xf>
    <xf numFmtId="0" fontId="27" fillId="0" borderId="0" xfId="25" applyBorder="1" applyAlignment="1" applyProtection="1">
      <protection locked="0"/>
    </xf>
    <xf numFmtId="0" fontId="38" fillId="0" borderId="42" xfId="20" applyFont="1" applyFill="1" applyBorder="1" applyAlignment="1" applyProtection="1">
      <alignment horizontal="right"/>
      <protection locked="0"/>
    </xf>
    <xf numFmtId="0" fontId="38" fillId="0" borderId="0" xfId="20" applyFont="1" applyFill="1" applyBorder="1" applyAlignment="1" applyProtection="1">
      <alignment horizontal="right"/>
      <protection locked="0"/>
    </xf>
    <xf numFmtId="0" fontId="38" fillId="0" borderId="0" xfId="20" applyFont="1" applyFill="1" applyBorder="1" applyAlignment="1" applyProtection="1">
      <alignment horizontal="right" vertical="top"/>
      <protection locked="0"/>
    </xf>
    <xf numFmtId="0" fontId="38" fillId="0" borderId="26" xfId="20" applyFont="1" applyFill="1" applyBorder="1" applyAlignment="1" applyProtection="1">
      <alignment horizontal="right"/>
      <protection locked="0"/>
    </xf>
    <xf numFmtId="172" fontId="27" fillId="0" borderId="0" xfId="25" applyNumberFormat="1" applyBorder="1" applyAlignment="1" applyProtection="1">
      <alignment horizontal="left"/>
      <protection locked="0"/>
    </xf>
    <xf numFmtId="0" fontId="38" fillId="0" borderId="26" xfId="20" applyFont="1" applyFill="1" applyBorder="1" applyAlignment="1" applyProtection="1">
      <alignment horizontal="right" vertical="top"/>
      <protection locked="0"/>
    </xf>
    <xf numFmtId="172" fontId="27" fillId="0" borderId="26" xfId="25" applyNumberFormat="1" applyBorder="1" applyAlignment="1" applyProtection="1">
      <alignment horizontal="left"/>
      <protection locked="0"/>
    </xf>
    <xf numFmtId="0" fontId="0" fillId="0" borderId="0" xfId="0" applyBorder="1" applyAlignment="1" applyProtection="1">
      <alignment horizontal="right" vertical="center"/>
      <protection locked="0"/>
    </xf>
    <xf numFmtId="0" fontId="0" fillId="0" borderId="0" xfId="0" applyBorder="1">
      <alignment vertical="center"/>
    </xf>
    <xf numFmtId="0" fontId="0" fillId="0" borderId="0" xfId="0" applyBorder="1" applyAlignment="1">
      <alignment horizontal="center" vertical="center"/>
    </xf>
    <xf numFmtId="0" fontId="0" fillId="0" borderId="0" xfId="0" applyFont="1" applyFill="1" applyBorder="1" applyAlignment="1">
      <alignment horizontal="center" vertical="center"/>
    </xf>
    <xf numFmtId="0" fontId="0" fillId="0" borderId="0" xfId="0" applyFont="1" applyFill="1" applyBorder="1" applyAlignment="1">
      <alignment horizontal="left" vertical="center"/>
    </xf>
    <xf numFmtId="0" fontId="0" fillId="2" borderId="0" xfId="0" applyFill="1" applyBorder="1" applyAlignment="1" applyProtection="1">
      <alignment horizontal="left" wrapText="1"/>
      <protection hidden="1"/>
    </xf>
    <xf numFmtId="0" fontId="16" fillId="2" borderId="32" xfId="0" applyFont="1" applyFill="1" applyBorder="1" applyAlignment="1" applyProtection="1">
      <alignment horizontal="center" vertical="center"/>
      <protection hidden="1"/>
    </xf>
    <xf numFmtId="0" fontId="16" fillId="2" borderId="30" xfId="0" applyFont="1" applyFill="1" applyBorder="1" applyAlignment="1" applyProtection="1">
      <alignment horizontal="center" vertical="center"/>
      <protection hidden="1"/>
    </xf>
    <xf numFmtId="0" fontId="16" fillId="2" borderId="33" xfId="0" applyFont="1" applyFill="1" applyBorder="1" applyAlignment="1" applyProtection="1">
      <alignment horizontal="center" vertical="center"/>
      <protection hidden="1"/>
    </xf>
    <xf numFmtId="0" fontId="16" fillId="2" borderId="34" xfId="0" applyFont="1" applyFill="1" applyBorder="1" applyAlignment="1" applyProtection="1">
      <alignment horizontal="center" vertical="center"/>
      <protection hidden="1"/>
    </xf>
    <xf numFmtId="0" fontId="16" fillId="2" borderId="0" xfId="0" applyFont="1" applyFill="1" applyBorder="1" applyAlignment="1" applyProtection="1">
      <alignment horizontal="center" vertical="center"/>
      <protection hidden="1"/>
    </xf>
    <xf numFmtId="0" fontId="16" fillId="2" borderId="35" xfId="0" applyFont="1" applyFill="1" applyBorder="1" applyAlignment="1" applyProtection="1">
      <alignment horizontal="center" vertical="center"/>
      <protection hidden="1"/>
    </xf>
    <xf numFmtId="0" fontId="16" fillId="2" borderId="36" xfId="0" applyFont="1" applyFill="1" applyBorder="1" applyAlignment="1" applyProtection="1">
      <alignment horizontal="center" vertical="center"/>
      <protection hidden="1"/>
    </xf>
    <xf numFmtId="0" fontId="16" fillId="2" borderId="37" xfId="0" applyFont="1" applyFill="1" applyBorder="1" applyAlignment="1" applyProtection="1">
      <alignment horizontal="center" vertical="center"/>
      <protection hidden="1"/>
    </xf>
    <xf numFmtId="0" fontId="16" fillId="2" borderId="38" xfId="0" applyFont="1" applyFill="1" applyBorder="1" applyAlignment="1" applyProtection="1">
      <alignment horizontal="center" vertical="center"/>
      <protection hidden="1"/>
    </xf>
    <xf numFmtId="0" fontId="26" fillId="2" borderId="13" xfId="24" applyFill="1" applyBorder="1" applyAlignment="1" applyProtection="1">
      <alignment horizontal="center" vertical="center" wrapText="1"/>
      <protection hidden="1"/>
    </xf>
    <xf numFmtId="0" fontId="26" fillId="2" borderId="14" xfId="24" applyFill="1" applyBorder="1" applyAlignment="1" applyProtection="1">
      <alignment horizontal="center" vertical="center" wrapText="1"/>
      <protection hidden="1"/>
    </xf>
    <xf numFmtId="0" fontId="26" fillId="2" borderId="15" xfId="24" applyFill="1" applyBorder="1" applyAlignment="1" applyProtection="1">
      <alignment horizontal="center" vertical="center" wrapText="1"/>
      <protection hidden="1"/>
    </xf>
    <xf numFmtId="0" fontId="26" fillId="2" borderId="17" xfId="24" applyFill="1" applyBorder="1" applyAlignment="1" applyProtection="1">
      <alignment horizontal="center" vertical="center" wrapText="1"/>
      <protection hidden="1"/>
    </xf>
    <xf numFmtId="0" fontId="26" fillId="2" borderId="0" xfId="24" applyFill="1" applyBorder="1" applyAlignment="1" applyProtection="1">
      <alignment horizontal="center" vertical="center" wrapText="1"/>
      <protection hidden="1"/>
    </xf>
    <xf numFmtId="0" fontId="26" fillId="2" borderId="18" xfId="24" applyFill="1" applyBorder="1" applyAlignment="1" applyProtection="1">
      <alignment horizontal="center" vertical="center" wrapText="1"/>
      <protection hidden="1"/>
    </xf>
    <xf numFmtId="0" fontId="47" fillId="2" borderId="17" xfId="25" applyFont="1" applyFill="1" applyBorder="1" applyAlignment="1" applyProtection="1">
      <alignment horizontal="center" vertical="center" wrapText="1"/>
      <protection hidden="1"/>
    </xf>
    <xf numFmtId="0" fontId="47" fillId="2" borderId="0" xfId="25" applyFont="1" applyFill="1" applyBorder="1" applyAlignment="1" applyProtection="1">
      <alignment horizontal="center" vertical="center" wrapText="1"/>
      <protection hidden="1"/>
    </xf>
    <xf numFmtId="0" fontId="47" fillId="2" borderId="18" xfId="25" applyFont="1" applyFill="1" applyBorder="1" applyAlignment="1" applyProtection="1">
      <alignment horizontal="center" vertical="center" wrapText="1"/>
      <protection hidden="1"/>
    </xf>
    <xf numFmtId="0" fontId="47" fillId="2" borderId="51" xfId="25" applyFont="1" applyFill="1" applyBorder="1" applyAlignment="1" applyProtection="1">
      <alignment horizontal="center" vertical="center" wrapText="1"/>
      <protection hidden="1"/>
    </xf>
    <xf numFmtId="0" fontId="47" fillId="2" borderId="23" xfId="25" applyFont="1" applyFill="1" applyBorder="1" applyAlignment="1" applyProtection="1">
      <alignment horizontal="center" vertical="center" wrapText="1"/>
      <protection hidden="1"/>
    </xf>
    <xf numFmtId="0" fontId="47" fillId="2" borderId="52" xfId="25" applyFont="1" applyFill="1" applyBorder="1" applyAlignment="1" applyProtection="1">
      <alignment horizontal="center" vertical="center" wrapText="1"/>
      <protection hidden="1"/>
    </xf>
    <xf numFmtId="0" fontId="27" fillId="2" borderId="19" xfId="25" applyFill="1" applyBorder="1" applyAlignment="1" applyProtection="1">
      <alignment horizontal="right" vertical="center"/>
      <protection hidden="1"/>
    </xf>
    <xf numFmtId="0" fontId="27" fillId="2" borderId="20" xfId="25" applyFill="1" applyBorder="1" applyAlignment="1" applyProtection="1">
      <alignment horizontal="right" vertical="center"/>
      <protection hidden="1"/>
    </xf>
    <xf numFmtId="164" fontId="27" fillId="2" borderId="20" xfId="25" applyNumberFormat="1" applyFill="1" applyBorder="1" applyAlignment="1" applyProtection="1">
      <alignment horizontal="left" vertical="center"/>
      <protection hidden="1"/>
    </xf>
    <xf numFmtId="164" fontId="27" fillId="2" borderId="21" xfId="25" applyNumberFormat="1" applyFill="1" applyBorder="1" applyAlignment="1" applyProtection="1">
      <alignment horizontal="left" vertical="center"/>
      <protection hidden="1"/>
    </xf>
    <xf numFmtId="0" fontId="27" fillId="2" borderId="22" xfId="25" applyFill="1" applyBorder="1" applyAlignment="1" applyProtection="1">
      <alignment horizontal="right" vertical="center"/>
      <protection hidden="1"/>
    </xf>
    <xf numFmtId="0" fontId="27" fillId="2" borderId="23" xfId="25" applyFill="1" applyBorder="1" applyAlignment="1" applyProtection="1">
      <alignment horizontal="right" vertical="center"/>
      <protection hidden="1"/>
    </xf>
    <xf numFmtId="14" fontId="27" fillId="2" borderId="23" xfId="25" applyNumberFormat="1" applyFill="1" applyBorder="1" applyAlignment="1" applyProtection="1">
      <alignment horizontal="left" vertical="center"/>
      <protection hidden="1"/>
    </xf>
    <xf numFmtId="14" fontId="27" fillId="2" borderId="24" xfId="25" applyNumberFormat="1" applyFill="1" applyBorder="1" applyAlignment="1" applyProtection="1">
      <alignment horizontal="left" vertical="center"/>
      <protection hidden="1"/>
    </xf>
    <xf numFmtId="0" fontId="0" fillId="2" borderId="0" xfId="0" applyFill="1" applyBorder="1" applyAlignment="1" applyProtection="1">
      <alignment horizontal="left" vertical="top" wrapText="1"/>
      <protection hidden="1"/>
    </xf>
    <xf numFmtId="0" fontId="0" fillId="2" borderId="0" xfId="0" applyFill="1" applyBorder="1" applyAlignment="1" applyProtection="1">
      <alignment horizontal="left" vertical="center" wrapText="1"/>
      <protection hidden="1"/>
    </xf>
    <xf numFmtId="0" fontId="0" fillId="0" borderId="0" xfId="0" applyFont="1" applyFill="1" applyAlignment="1">
      <alignment horizontal="right" vertical="center"/>
    </xf>
    <xf numFmtId="0" fontId="36" fillId="0" borderId="0" xfId="20" applyFont="1" applyFill="1" applyBorder="1" applyAlignment="1">
      <alignment horizontal="left" vertical="center" wrapText="1"/>
    </xf>
    <xf numFmtId="0" fontId="42" fillId="0" borderId="0" xfId="20" applyFont="1" applyFill="1" applyAlignment="1">
      <alignment horizontal="right" vertical="center" wrapText="1"/>
    </xf>
    <xf numFmtId="0" fontId="42" fillId="0" borderId="35" xfId="20" applyFont="1" applyFill="1" applyBorder="1" applyAlignment="1">
      <alignment horizontal="right" vertical="center" wrapText="1"/>
    </xf>
    <xf numFmtId="0" fontId="42" fillId="0" borderId="0" xfId="20" applyFont="1" applyFill="1" applyBorder="1" applyAlignment="1">
      <alignment horizontal="right" vertical="center" wrapText="1"/>
    </xf>
    <xf numFmtId="0" fontId="27" fillId="0" borderId="0" xfId="25" applyFill="1" applyBorder="1" applyAlignment="1">
      <alignment horizontal="left"/>
    </xf>
    <xf numFmtId="0" fontId="23" fillId="0" borderId="0" xfId="20" applyFill="1" applyBorder="1" applyAlignment="1">
      <alignment horizontal="left" vertical="center"/>
    </xf>
    <xf numFmtId="0" fontId="38" fillId="0" borderId="0" xfId="20" applyFont="1" applyFill="1" applyAlignment="1">
      <alignment horizontal="right" vertical="center" wrapText="1"/>
    </xf>
    <xf numFmtId="0" fontId="38" fillId="0" borderId="35" xfId="20" applyFont="1" applyFill="1" applyBorder="1" applyAlignment="1">
      <alignment horizontal="right" vertical="center" wrapText="1"/>
    </xf>
    <xf numFmtId="0" fontId="38" fillId="0" borderId="0" xfId="20" applyFont="1" applyFill="1" applyBorder="1" applyAlignment="1">
      <alignment horizontal="right" vertical="center" wrapText="1"/>
    </xf>
    <xf numFmtId="0" fontId="38" fillId="0" borderId="62" xfId="20" applyFont="1" applyFill="1" applyBorder="1" applyAlignment="1">
      <alignment horizontal="right" vertical="center" wrapText="1"/>
    </xf>
    <xf numFmtId="0" fontId="3" fillId="3" borderId="64" xfId="26" applyNumberFormat="1" applyFont="1" applyBorder="1" applyAlignment="1">
      <alignment horizontal="left" vertical="center"/>
      <protection locked="0"/>
    </xf>
    <xf numFmtId="0" fontId="23" fillId="0" borderId="0" xfId="20" applyFill="1" applyBorder="1" applyAlignment="1">
      <alignment horizontal="left" vertical="center" wrapText="1"/>
    </xf>
    <xf numFmtId="0" fontId="38" fillId="0" borderId="42" xfId="20" applyFont="1" applyFill="1" applyBorder="1" applyAlignment="1">
      <alignment horizontal="right" vertical="center" wrapText="1"/>
    </xf>
    <xf numFmtId="0" fontId="38" fillId="0" borderId="50" xfId="20" applyFont="1" applyFill="1" applyBorder="1" applyAlignment="1">
      <alignment horizontal="right" vertical="center" wrapText="1"/>
    </xf>
    <xf numFmtId="0" fontId="23" fillId="0" borderId="0" xfId="20" applyBorder="1" applyAlignment="1">
      <alignment horizontal="left" vertical="center" wrapText="1"/>
    </xf>
    <xf numFmtId="0" fontId="23" fillId="0" borderId="0" xfId="20" applyFill="1" applyAlignment="1" applyProtection="1">
      <alignment horizontal="left" vertical="center"/>
      <protection locked="0"/>
    </xf>
    <xf numFmtId="0" fontId="23" fillId="0" borderId="46" xfId="20" applyFill="1" applyBorder="1" applyAlignment="1">
      <alignment horizontal="left" vertical="center" wrapText="1"/>
    </xf>
    <xf numFmtId="0" fontId="3" fillId="19" borderId="0" xfId="16" applyAlignment="1">
      <alignment horizontal="left" vertical="center"/>
    </xf>
    <xf numFmtId="0" fontId="23" fillId="0" borderId="1" xfId="20" applyFill="1" applyBorder="1" applyAlignment="1" applyProtection="1">
      <alignment horizontal="left" vertical="center" wrapText="1"/>
      <protection locked="0"/>
    </xf>
    <xf numFmtId="0" fontId="23" fillId="0" borderId="2" xfId="20" applyFill="1" applyBorder="1" applyAlignment="1" applyProtection="1">
      <alignment horizontal="left" vertical="center" wrapText="1"/>
      <protection locked="0"/>
    </xf>
    <xf numFmtId="0" fontId="23" fillId="0" borderId="3" xfId="20" applyFill="1" applyBorder="1" applyAlignment="1" applyProtection="1">
      <alignment horizontal="left" vertical="center" wrapText="1"/>
      <protection locked="0"/>
    </xf>
    <xf numFmtId="0" fontId="23" fillId="0" borderId="46" xfId="20" applyFill="1" applyBorder="1" applyAlignment="1">
      <alignment horizontal="left" vertical="center"/>
    </xf>
    <xf numFmtId="0" fontId="27" fillId="2" borderId="10" xfId="25" applyFill="1" applyBorder="1" applyAlignment="1">
      <alignment horizontal="center" textRotation="90"/>
    </xf>
    <xf numFmtId="0" fontId="27" fillId="2" borderId="0" xfId="25" applyFill="1" applyAlignment="1">
      <alignment horizontal="center" textRotation="90"/>
    </xf>
    <xf numFmtId="0" fontId="27" fillId="2" borderId="4" xfId="25" applyFill="1" applyBorder="1" applyAlignment="1">
      <alignment horizontal="center" textRotation="90"/>
    </xf>
    <xf numFmtId="0" fontId="3" fillId="3" borderId="0" xfId="26" applyBorder="1" applyAlignment="1">
      <alignment horizontal="left" vertical="top"/>
      <protection locked="0"/>
    </xf>
  </cellXfs>
  <cellStyles count="37">
    <cellStyle name="Accent1" xfId="21" builtinId="29" customBuiltin="1"/>
    <cellStyle name="Accent5" xfId="22" builtinId="45" customBuiltin="1"/>
    <cellStyle name="Accent6" xfId="23" builtinId="49" customBuiltin="1"/>
    <cellStyle name="Background" xfId="3"/>
    <cellStyle name="BackGround_Calculation" xfId="12"/>
    <cellStyle name="Background_Data" xfId="27"/>
    <cellStyle name="Blank_Cell" xfId="4"/>
    <cellStyle name="Calculation" xfId="15" builtinId="22" customBuiltin="1"/>
    <cellStyle name="Check Cell" xfId="17" builtinId="23" customBuiltin="1"/>
    <cellStyle name="Comma" xfId="34" builtinId="3"/>
    <cellStyle name="Comma 2" xfId="32"/>
    <cellStyle name="Currency" xfId="36" builtinId="4"/>
    <cellStyle name="Currency [2]_Summary " xfId="5"/>
    <cellStyle name="Date_Summary " xfId="6"/>
    <cellStyle name="Decimal [2]_Summary " xfId="7"/>
    <cellStyle name="Decimal [4]_Summary " xfId="8"/>
    <cellStyle name="DropMenu" xfId="26"/>
    <cellStyle name="Explanatory Text" xfId="20" builtinId="53" customBuiltin="1"/>
    <cellStyle name="Explanatory Text 2" xfId="28"/>
    <cellStyle name="Heading 1" xfId="24" builtinId="16" customBuiltin="1"/>
    <cellStyle name="Heading 2" xfId="25" builtinId="17" customBuiltin="1"/>
    <cellStyle name="HSBC WK Number 2_Summary " xfId="9"/>
    <cellStyle name="Hyperlink" xfId="1" builtinId="8" customBuiltin="1"/>
    <cellStyle name="Hyperlink 2" xfId="31"/>
    <cellStyle name="Input" xfId="13" builtinId="20" customBuiltin="1"/>
    <cellStyle name="Linked Cell" xfId="16" builtinId="24" customBuiltin="1"/>
    <cellStyle name="Neutral" xfId="35" builtinId="28"/>
    <cellStyle name="Normal" xfId="0" builtinId="0" customBuiltin="1"/>
    <cellStyle name="Normal 2" xfId="30"/>
    <cellStyle name="Note" xfId="19" builtinId="10" customBuiltin="1"/>
    <cellStyle name="Output" xfId="14" builtinId="21" customBuiltin="1"/>
    <cellStyle name="Percent" xfId="29" builtinId="5"/>
    <cellStyle name="Percent [2]_Summary " xfId="10"/>
    <cellStyle name="Percent 2" xfId="33"/>
    <cellStyle name="Range Name" xfId="11"/>
    <cellStyle name="Status_OK" xfId="2"/>
    <cellStyle name="Warning Text" xfId="18" builtinId="11" customBuiltin="1"/>
  </cellStyles>
  <dxfs count="20">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s>
  <tableStyles count="0" defaultTableStyle="TableStyleMedium9" defaultPivotStyle="PivotStyleLight16"/>
  <colors>
    <mruColors>
      <color rgb="FFCCFFCC"/>
      <color rgb="FFFFFFCC"/>
      <color rgb="FFFFCCFF"/>
      <color rgb="FFCCFFFF"/>
      <color rgb="FF00B050"/>
      <color rgb="FFFF9933"/>
      <color rgb="FF0040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wmf"/><Relationship Id="rId1" Type="http://schemas.openxmlformats.org/officeDocument/2006/relationships/image" Target="../media/image3.wmf"/><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8</xdr:col>
      <xdr:colOff>0</xdr:colOff>
      <xdr:row>12</xdr:row>
      <xdr:rowOff>4646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8675" y="657225"/>
          <a:ext cx="1381125" cy="1519121"/>
        </a:xfrm>
        <a:prstGeom prst="rect">
          <a:avLst/>
        </a:prstGeom>
      </xdr:spPr>
    </xdr:pic>
    <xdr:clientData/>
  </xdr:twoCellAnchor>
  <xdr:twoCellAnchor editAs="oneCell">
    <xdr:from>
      <xdr:col>20</xdr:col>
      <xdr:colOff>246126</xdr:colOff>
      <xdr:row>2</xdr:row>
      <xdr:rowOff>158114</xdr:rowOff>
    </xdr:from>
    <xdr:to>
      <xdr:col>28</xdr:col>
      <xdr:colOff>0</xdr:colOff>
      <xdr:row>11</xdr:row>
      <xdr:rowOff>822</xdr:rowOff>
    </xdr:to>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70626" y="653414"/>
          <a:ext cx="1963674" cy="13571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3022309</xdr:colOff>
      <xdr:row>12</xdr:row>
      <xdr:rowOff>82327</xdr:rowOff>
    </xdr:from>
    <xdr:to>
      <xdr:col>2</xdr:col>
      <xdr:colOff>1041338</xdr:colOff>
      <xdr:row>16</xdr:row>
      <xdr:rowOff>142133</xdr:rowOff>
    </xdr:to>
    <xdr:pic>
      <xdr:nvPicPr>
        <xdr:cNvPr id="10" name="Picture 9" descr="MCj02808020000[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7584" y="2054002"/>
          <a:ext cx="1124179" cy="707506"/>
        </a:xfrm>
        <a:prstGeom prst="rect">
          <a:avLst/>
        </a:prstGeom>
        <a:noFill/>
        <a:ln>
          <a:noFill/>
        </a:ln>
        <a:extLst/>
      </xdr:spPr>
    </xdr:pic>
    <xdr:clientData/>
  </xdr:twoCellAnchor>
  <xdr:twoCellAnchor>
    <xdr:from>
      <xdr:col>4</xdr:col>
      <xdr:colOff>43422</xdr:colOff>
      <xdr:row>21</xdr:row>
      <xdr:rowOff>108610</xdr:rowOff>
    </xdr:from>
    <xdr:to>
      <xdr:col>5</xdr:col>
      <xdr:colOff>615672</xdr:colOff>
      <xdr:row>23</xdr:row>
      <xdr:rowOff>114300</xdr:rowOff>
    </xdr:to>
    <xdr:sp macro="" textlink="">
      <xdr:nvSpPr>
        <xdr:cNvPr id="19" name="Rounded Rectangle 18"/>
        <xdr:cNvSpPr/>
      </xdr:nvSpPr>
      <xdr:spPr>
        <a:xfrm>
          <a:off x="5726672" y="3495277"/>
          <a:ext cx="1620000" cy="32319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en-GB" sz="1100" b="1"/>
            <a:t>5. Treatment</a:t>
          </a:r>
        </a:p>
      </xdr:txBody>
    </xdr:sp>
    <xdr:clientData/>
  </xdr:twoCellAnchor>
  <xdr:twoCellAnchor>
    <xdr:from>
      <xdr:col>1</xdr:col>
      <xdr:colOff>2885334</xdr:colOff>
      <xdr:row>10</xdr:row>
      <xdr:rowOff>22885</xdr:rowOff>
    </xdr:from>
    <xdr:to>
      <xdr:col>3</xdr:col>
      <xdr:colOff>166167</xdr:colOff>
      <xdr:row>12</xdr:row>
      <xdr:rowOff>22885</xdr:rowOff>
    </xdr:to>
    <xdr:sp macro="" textlink="">
      <xdr:nvSpPr>
        <xdr:cNvPr id="21" name="Rounded Rectangle 20"/>
        <xdr:cNvSpPr/>
      </xdr:nvSpPr>
      <xdr:spPr>
        <a:xfrm>
          <a:off x="3181667" y="1663302"/>
          <a:ext cx="1620000" cy="31750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en-GB" sz="1100" b="1"/>
            <a:t>4. Industry</a:t>
          </a:r>
        </a:p>
      </xdr:txBody>
    </xdr:sp>
    <xdr:clientData/>
  </xdr:twoCellAnchor>
  <xdr:twoCellAnchor>
    <xdr:from>
      <xdr:col>4</xdr:col>
      <xdr:colOff>958685</xdr:colOff>
      <xdr:row>8</xdr:row>
      <xdr:rowOff>0</xdr:rowOff>
    </xdr:from>
    <xdr:to>
      <xdr:col>6</xdr:col>
      <xdr:colOff>742950</xdr:colOff>
      <xdr:row>12</xdr:row>
      <xdr:rowOff>152400</xdr:rowOff>
    </xdr:to>
    <xdr:sp macro="" textlink="">
      <xdr:nvSpPr>
        <xdr:cNvPr id="22" name="Right Arrow 21"/>
        <xdr:cNvSpPr/>
      </xdr:nvSpPr>
      <xdr:spPr>
        <a:xfrm>
          <a:off x="6454610" y="1323975"/>
          <a:ext cx="1879765" cy="800100"/>
        </a:xfrm>
        <a:prstGeom prst="right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nchorCtr="0"/>
        <a:lstStyle/>
        <a:p>
          <a:pPr algn="ctr"/>
          <a:r>
            <a:rPr lang="en-GB" sz="1100" b="1"/>
            <a:t>Energy</a:t>
          </a:r>
        </a:p>
      </xdr:txBody>
    </xdr:sp>
    <xdr:clientData/>
  </xdr:twoCellAnchor>
  <xdr:twoCellAnchor>
    <xdr:from>
      <xdr:col>4</xdr:col>
      <xdr:colOff>958685</xdr:colOff>
      <xdr:row>14</xdr:row>
      <xdr:rowOff>127660</xdr:rowOff>
    </xdr:from>
    <xdr:to>
      <xdr:col>6</xdr:col>
      <xdr:colOff>752824</xdr:colOff>
      <xdr:row>19</xdr:row>
      <xdr:rowOff>87557</xdr:rowOff>
    </xdr:to>
    <xdr:sp macro="" textlink="">
      <xdr:nvSpPr>
        <xdr:cNvPr id="23" name="Right Arrow 22"/>
        <xdr:cNvSpPr/>
      </xdr:nvSpPr>
      <xdr:spPr>
        <a:xfrm>
          <a:off x="6454610" y="2423185"/>
          <a:ext cx="1889639" cy="769522"/>
        </a:xfrm>
        <a:prstGeom prst="rightArrow">
          <a:avLst/>
        </a:prstGeom>
      </xdr:spPr>
      <xdr:style>
        <a:lnRef idx="2">
          <a:schemeClr val="accent3">
            <a:shade val="50000"/>
          </a:schemeClr>
        </a:lnRef>
        <a:fillRef idx="1">
          <a:schemeClr val="accent3"/>
        </a:fillRef>
        <a:effectRef idx="0">
          <a:schemeClr val="accent3"/>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n-GB" sz="1100" b="1">
              <a:solidFill>
                <a:schemeClr val="lt1"/>
              </a:solidFill>
              <a:latin typeface="+mn-lt"/>
              <a:ea typeface="+mn-ea"/>
              <a:cs typeface="+mn-cs"/>
            </a:rPr>
            <a:t>Carbon</a:t>
          </a:r>
        </a:p>
      </xdr:txBody>
    </xdr:sp>
    <xdr:clientData/>
  </xdr:twoCellAnchor>
  <xdr:twoCellAnchor>
    <xdr:from>
      <xdr:col>1</xdr:col>
      <xdr:colOff>192777</xdr:colOff>
      <xdr:row>2</xdr:row>
      <xdr:rowOff>36159</xdr:rowOff>
    </xdr:from>
    <xdr:to>
      <xdr:col>4</xdr:col>
      <xdr:colOff>610915</xdr:colOff>
      <xdr:row>23</xdr:row>
      <xdr:rowOff>131124</xdr:rowOff>
    </xdr:to>
    <xdr:grpSp>
      <xdr:nvGrpSpPr>
        <xdr:cNvPr id="3" name="Group 2"/>
        <xdr:cNvGrpSpPr/>
      </xdr:nvGrpSpPr>
      <xdr:grpSpPr>
        <a:xfrm>
          <a:off x="497577" y="394299"/>
          <a:ext cx="6369358" cy="3775425"/>
          <a:chOff x="486465" y="385409"/>
          <a:chExt cx="6371263" cy="3428715"/>
        </a:xfrm>
      </xdr:grpSpPr>
      <xdr:pic>
        <xdr:nvPicPr>
          <xdr:cNvPr id="17" name="Picture 16" descr="C:\Users\simon_gandy\AppData\Local\Microsoft\Windows\Temporary Internet Files\Content.IE5\1SN5KJ37\MC900389350[1].wmf"/>
          <xdr:cNvPicPr>
            <a:picLocks noChangeAspect="1" noChangeArrowheads="1"/>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074734" y="385409"/>
            <a:ext cx="782994" cy="752512"/>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5" name="Curved Left Arrow 14"/>
          <xdr:cNvSpPr/>
        </xdr:nvSpPr>
        <xdr:spPr>
          <a:xfrm>
            <a:off x="5200785" y="2146457"/>
            <a:ext cx="989245" cy="1667667"/>
          </a:xfrm>
          <a:prstGeom prst="curvedLeftArrow">
            <a:avLst>
              <a:gd name="adj1" fmla="val 35904"/>
              <a:gd name="adj2" fmla="val 73343"/>
              <a:gd name="adj3" fmla="val 36579"/>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GB" sz="1100">
              <a:solidFill>
                <a:schemeClr val="tx1"/>
              </a:solidFill>
            </a:endParaRPr>
          </a:p>
        </xdr:txBody>
      </xdr:sp>
      <xdr:sp macro="" textlink="">
        <xdr:nvSpPr>
          <xdr:cNvPr id="16" name="Curved Left Arrow 15"/>
          <xdr:cNvSpPr/>
        </xdr:nvSpPr>
        <xdr:spPr>
          <a:xfrm rot="10800000">
            <a:off x="2426122" y="1968601"/>
            <a:ext cx="988485" cy="1675834"/>
          </a:xfrm>
          <a:prstGeom prst="curvedLeftArrow">
            <a:avLst>
              <a:gd name="adj1" fmla="val 35904"/>
              <a:gd name="adj2" fmla="val 73343"/>
              <a:gd name="adj3" fmla="val 36579"/>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GB" sz="1100">
              <a:solidFill>
                <a:schemeClr val="tx1"/>
              </a:solidFill>
            </a:endParaRPr>
          </a:p>
        </xdr:txBody>
      </xdr:sp>
      <xdr:pic>
        <xdr:nvPicPr>
          <xdr:cNvPr id="11" name="Picture 10" descr="MCj03113080000[1]"/>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70439" y="3110710"/>
            <a:ext cx="1499463" cy="6317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1" descr="C:\Users\simon_gandy\AppData\Local\Microsoft\Windows\Temporary Internet Files\Content.IE5\89X1021B\MC900433839[1].png"/>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4769" r="5967" b="16676"/>
          <a:stretch/>
        </xdr:blipFill>
        <xdr:spPr bwMode="auto">
          <a:xfrm>
            <a:off x="3405092" y="774443"/>
            <a:ext cx="1753816" cy="805622"/>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3" name="Curved Left Arrow 12"/>
          <xdr:cNvSpPr/>
        </xdr:nvSpPr>
        <xdr:spPr>
          <a:xfrm>
            <a:off x="5169378" y="1053928"/>
            <a:ext cx="1582792" cy="2758836"/>
          </a:xfrm>
          <a:prstGeom prst="curvedLef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GB" sz="1100">
              <a:solidFill>
                <a:schemeClr val="tx1"/>
              </a:solidFill>
            </a:endParaRPr>
          </a:p>
        </xdr:txBody>
      </xdr:sp>
      <xdr:sp macro="" textlink="">
        <xdr:nvSpPr>
          <xdr:cNvPr id="14" name="Curved Left Arrow 13"/>
          <xdr:cNvSpPr/>
        </xdr:nvSpPr>
        <xdr:spPr>
          <a:xfrm rot="10800000">
            <a:off x="1800410" y="885601"/>
            <a:ext cx="1582792" cy="2768363"/>
          </a:xfrm>
          <a:prstGeom prst="curvedLef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GB" sz="1100">
              <a:solidFill>
                <a:schemeClr val="tx1"/>
              </a:solidFill>
            </a:endParaRPr>
          </a:p>
        </xdr:txBody>
      </xdr:sp>
      <xdr:sp macro="" textlink="">
        <xdr:nvSpPr>
          <xdr:cNvPr id="18" name="Rounded Rectangle 17"/>
          <xdr:cNvSpPr/>
        </xdr:nvSpPr>
        <xdr:spPr>
          <a:xfrm>
            <a:off x="486465" y="3454952"/>
            <a:ext cx="1780641" cy="317596"/>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en-GB" sz="1100" b="1"/>
              <a:t>2. Supply</a:t>
            </a:r>
          </a:p>
        </xdr:txBody>
      </xdr:sp>
      <xdr:sp macro="" textlink="">
        <xdr:nvSpPr>
          <xdr:cNvPr id="20" name="Rounded Rectangle 19"/>
          <xdr:cNvSpPr/>
        </xdr:nvSpPr>
        <xdr:spPr>
          <a:xfrm>
            <a:off x="3446018" y="437792"/>
            <a:ext cx="1780641" cy="317596"/>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en-GB" sz="1100" b="1"/>
              <a:t>3. Household</a:t>
            </a:r>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2</xdr:row>
          <xdr:rowOff>0</xdr:rowOff>
        </xdr:from>
        <xdr:to>
          <xdr:col>4</xdr:col>
          <xdr:colOff>0</xdr:colOff>
          <xdr:row>3</xdr:row>
          <xdr:rowOff>0</xdr:rowOff>
        </xdr:to>
        <xdr:sp macro="" textlink="">
          <xdr:nvSpPr>
            <xdr:cNvPr id="129025" name="Button 1" hidden="1">
              <a:extLst>
                <a:ext uri="{63B3BB69-23CF-44E3-9099-C40C66FF867C}">
                  <a14:compatExt spid="_x0000_s129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Show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3</xdr:row>
          <xdr:rowOff>0</xdr:rowOff>
        </xdr:from>
        <xdr:to>
          <xdr:col>4</xdr:col>
          <xdr:colOff>0</xdr:colOff>
          <xdr:row>4</xdr:row>
          <xdr:rowOff>0</xdr:rowOff>
        </xdr:to>
        <xdr:sp macro="" textlink="">
          <xdr:nvSpPr>
            <xdr:cNvPr id="129026" name="Button 2" hidden="1">
              <a:extLst>
                <a:ext uri="{63B3BB69-23CF-44E3-9099-C40C66FF867C}">
                  <a14:compatExt spid="_x0000_s1290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4</xdr:row>
          <xdr:rowOff>0</xdr:rowOff>
        </xdr:from>
        <xdr:to>
          <xdr:col>4</xdr:col>
          <xdr:colOff>0</xdr:colOff>
          <xdr:row>5</xdr:row>
          <xdr:rowOff>0</xdr:rowOff>
        </xdr:to>
        <xdr:sp macro="" textlink="">
          <xdr:nvSpPr>
            <xdr:cNvPr id="129027" name="Button 3" hidden="1">
              <a:extLst>
                <a:ext uri="{63B3BB69-23CF-44E3-9099-C40C66FF867C}">
                  <a14:compatExt spid="_x0000_s1290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Go To</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SRG_Colourblind_v02">
      <a:dk1>
        <a:sysClr val="windowText" lastClr="000000"/>
      </a:dk1>
      <a:lt1>
        <a:sysClr val="window" lastClr="FFFFFF"/>
      </a:lt1>
      <a:dk2>
        <a:srgbClr val="1F497D"/>
      </a:dk2>
      <a:lt2>
        <a:srgbClr val="EEECE1"/>
      </a:lt2>
      <a:accent1>
        <a:srgbClr val="FFFF00"/>
      </a:accent1>
      <a:accent2>
        <a:srgbClr val="92D050"/>
      </a:accent2>
      <a:accent3>
        <a:srgbClr val="00B050"/>
      </a:accent3>
      <a:accent4>
        <a:srgbClr val="00B0F0"/>
      </a:accent4>
      <a:accent5>
        <a:srgbClr val="002060"/>
      </a:accent5>
      <a:accent6>
        <a:srgbClr val="7030A0"/>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C19"/>
  <sheetViews>
    <sheetView tabSelected="1" zoomScale="110" zoomScaleNormal="110" workbookViewId="0">
      <selection activeCell="Y2" sqref="Y2"/>
    </sheetView>
  </sheetViews>
  <sheetFormatPr defaultColWidth="4.140625" defaultRowHeight="12.75" x14ac:dyDescent="0.2"/>
  <cols>
    <col min="1" max="16384" width="4.140625" style="1"/>
  </cols>
  <sheetData>
    <row r="1" spans="1:29" x14ac:dyDescent="0.2">
      <c r="A1" s="75" t="s">
        <v>2</v>
      </c>
    </row>
    <row r="2" spans="1:29" ht="13.5" thickBot="1" x14ac:dyDescent="0.25"/>
    <row r="3" spans="1:29" x14ac:dyDescent="0.2">
      <c r="C3" s="2"/>
      <c r="D3" s="3"/>
      <c r="E3" s="3"/>
      <c r="F3" s="3"/>
      <c r="G3" s="3"/>
      <c r="H3" s="3"/>
      <c r="I3" s="3"/>
      <c r="J3" s="3"/>
      <c r="K3" s="3"/>
      <c r="L3" s="3"/>
      <c r="M3" s="3"/>
      <c r="N3" s="3"/>
      <c r="O3" s="3"/>
      <c r="P3" s="3"/>
      <c r="Q3" s="3"/>
      <c r="R3" s="3"/>
      <c r="S3" s="3"/>
      <c r="T3" s="3"/>
      <c r="U3" s="3"/>
      <c r="V3" s="3"/>
      <c r="W3" s="3"/>
      <c r="X3" s="3"/>
      <c r="Y3" s="3"/>
      <c r="Z3" s="3"/>
      <c r="AA3" s="3"/>
      <c r="AB3" s="3"/>
      <c r="AC3" s="4"/>
    </row>
    <row r="4" spans="1:29" x14ac:dyDescent="0.2">
      <c r="C4" s="5"/>
      <c r="D4" s="515" t="s">
        <v>25</v>
      </c>
      <c r="E4" s="516"/>
      <c r="F4" s="516"/>
      <c r="G4" s="516"/>
      <c r="H4" s="517"/>
      <c r="I4" s="6"/>
      <c r="J4" s="524" t="s">
        <v>529</v>
      </c>
      <c r="K4" s="525"/>
      <c r="L4" s="525"/>
      <c r="M4" s="525"/>
      <c r="N4" s="525"/>
      <c r="O4" s="525"/>
      <c r="P4" s="525"/>
      <c r="Q4" s="525"/>
      <c r="R4" s="525"/>
      <c r="S4" s="525"/>
      <c r="T4" s="526"/>
      <c r="U4" s="6"/>
      <c r="V4" s="6"/>
      <c r="W4" s="6"/>
      <c r="X4" s="6"/>
      <c r="Y4" s="6"/>
      <c r="Z4" s="6"/>
      <c r="AA4" s="6"/>
      <c r="AB4" s="6"/>
      <c r="AC4" s="7"/>
    </row>
    <row r="5" spans="1:29" x14ac:dyDescent="0.2">
      <c r="C5" s="5"/>
      <c r="D5" s="518"/>
      <c r="E5" s="519"/>
      <c r="F5" s="519"/>
      <c r="G5" s="519"/>
      <c r="H5" s="520"/>
      <c r="I5" s="6"/>
      <c r="J5" s="527"/>
      <c r="K5" s="528"/>
      <c r="L5" s="528"/>
      <c r="M5" s="528"/>
      <c r="N5" s="528"/>
      <c r="O5" s="528"/>
      <c r="P5" s="528"/>
      <c r="Q5" s="528"/>
      <c r="R5" s="528"/>
      <c r="S5" s="528"/>
      <c r="T5" s="529"/>
      <c r="U5" s="6"/>
      <c r="V5" s="6"/>
      <c r="W5" s="6"/>
      <c r="X5" s="6"/>
      <c r="Y5" s="6"/>
      <c r="Z5" s="6"/>
      <c r="AA5" s="6"/>
      <c r="AB5" s="6"/>
      <c r="AC5" s="7"/>
    </row>
    <row r="6" spans="1:29" x14ac:dyDescent="0.2">
      <c r="C6" s="5"/>
      <c r="D6" s="518"/>
      <c r="E6" s="519"/>
      <c r="F6" s="519"/>
      <c r="G6" s="519"/>
      <c r="H6" s="520"/>
      <c r="I6" s="6"/>
      <c r="J6" s="527"/>
      <c r="K6" s="528"/>
      <c r="L6" s="528"/>
      <c r="M6" s="528"/>
      <c r="N6" s="528"/>
      <c r="O6" s="528"/>
      <c r="P6" s="528"/>
      <c r="Q6" s="528"/>
      <c r="R6" s="528"/>
      <c r="S6" s="528"/>
      <c r="T6" s="529"/>
      <c r="U6" s="6"/>
      <c r="V6" s="6"/>
      <c r="W6" s="6"/>
      <c r="X6" s="6"/>
      <c r="Y6" s="6"/>
      <c r="Z6" s="6"/>
      <c r="AA6" s="6"/>
      <c r="AB6" s="6"/>
      <c r="AC6" s="7"/>
    </row>
    <row r="7" spans="1:29" x14ac:dyDescent="0.2">
      <c r="C7" s="5"/>
      <c r="D7" s="518"/>
      <c r="E7" s="519"/>
      <c r="F7" s="519"/>
      <c r="G7" s="519"/>
      <c r="H7" s="520"/>
      <c r="I7" s="6"/>
      <c r="J7" s="527"/>
      <c r="K7" s="528"/>
      <c r="L7" s="528"/>
      <c r="M7" s="528"/>
      <c r="N7" s="528"/>
      <c r="O7" s="528"/>
      <c r="P7" s="528"/>
      <c r="Q7" s="528"/>
      <c r="R7" s="528"/>
      <c r="S7" s="528"/>
      <c r="T7" s="529"/>
      <c r="U7" s="6"/>
      <c r="V7" s="6"/>
      <c r="W7" s="6"/>
      <c r="X7" s="6"/>
      <c r="Y7" s="6"/>
      <c r="Z7" s="6"/>
      <c r="AA7" s="6"/>
      <c r="AB7" s="6"/>
      <c r="AC7" s="7"/>
    </row>
    <row r="8" spans="1:29" x14ac:dyDescent="0.2">
      <c r="C8" s="5"/>
      <c r="D8" s="518"/>
      <c r="E8" s="519"/>
      <c r="F8" s="519"/>
      <c r="G8" s="519"/>
      <c r="H8" s="520"/>
      <c r="I8" s="6"/>
      <c r="J8" s="530" t="s">
        <v>639</v>
      </c>
      <c r="K8" s="531"/>
      <c r="L8" s="531"/>
      <c r="M8" s="531"/>
      <c r="N8" s="531"/>
      <c r="O8" s="531"/>
      <c r="P8" s="531"/>
      <c r="Q8" s="531"/>
      <c r="R8" s="531"/>
      <c r="S8" s="531"/>
      <c r="T8" s="532"/>
      <c r="U8" s="6"/>
      <c r="V8" s="6"/>
      <c r="W8" s="6"/>
      <c r="X8" s="6"/>
      <c r="Y8" s="6"/>
      <c r="Z8" s="6"/>
      <c r="AA8" s="6"/>
      <c r="AB8" s="6"/>
      <c r="AC8" s="7"/>
    </row>
    <row r="9" spans="1:29" x14ac:dyDescent="0.2">
      <c r="C9" s="5"/>
      <c r="D9" s="518"/>
      <c r="E9" s="519"/>
      <c r="F9" s="519"/>
      <c r="G9" s="519"/>
      <c r="H9" s="520"/>
      <c r="I9" s="6"/>
      <c r="J9" s="533"/>
      <c r="K9" s="534"/>
      <c r="L9" s="534"/>
      <c r="M9" s="534"/>
      <c r="N9" s="534"/>
      <c r="O9" s="534"/>
      <c r="P9" s="534"/>
      <c r="Q9" s="534"/>
      <c r="R9" s="534"/>
      <c r="S9" s="534"/>
      <c r="T9" s="535"/>
      <c r="U9" s="6"/>
      <c r="V9" s="6"/>
      <c r="W9" s="6"/>
      <c r="X9" s="6"/>
      <c r="Y9" s="6"/>
      <c r="Z9" s="6"/>
      <c r="AA9" s="6"/>
      <c r="AB9" s="6"/>
      <c r="AC9" s="7"/>
    </row>
    <row r="10" spans="1:29" ht="15" x14ac:dyDescent="0.2">
      <c r="C10" s="5"/>
      <c r="D10" s="518"/>
      <c r="E10" s="519"/>
      <c r="F10" s="519"/>
      <c r="G10" s="519"/>
      <c r="H10" s="520"/>
      <c r="I10" s="6"/>
      <c r="J10" s="536" t="s">
        <v>3</v>
      </c>
      <c r="K10" s="537"/>
      <c r="L10" s="537"/>
      <c r="M10" s="537"/>
      <c r="N10" s="537"/>
      <c r="O10" s="537"/>
      <c r="P10" s="538" t="str">
        <f>'Key, Version Control and Errors'!D22</f>
        <v/>
      </c>
      <c r="Q10" s="538"/>
      <c r="R10" s="538"/>
      <c r="S10" s="538"/>
      <c r="T10" s="539"/>
      <c r="U10" s="6"/>
      <c r="V10" s="6"/>
      <c r="W10" s="6"/>
      <c r="X10" s="6"/>
      <c r="Y10" s="6"/>
      <c r="Z10" s="6"/>
      <c r="AA10" s="6"/>
      <c r="AB10" s="6"/>
      <c r="AC10" s="7"/>
    </row>
    <row r="11" spans="1:29" ht="15" x14ac:dyDescent="0.2">
      <c r="C11" s="5"/>
      <c r="D11" s="521"/>
      <c r="E11" s="522"/>
      <c r="F11" s="522"/>
      <c r="G11" s="522"/>
      <c r="H11" s="523"/>
      <c r="I11" s="6"/>
      <c r="J11" s="540" t="s">
        <v>4</v>
      </c>
      <c r="K11" s="541"/>
      <c r="L11" s="541"/>
      <c r="M11" s="541"/>
      <c r="N11" s="541"/>
      <c r="O11" s="541" t="s">
        <v>4</v>
      </c>
      <c r="P11" s="542">
        <f>'Key, Version Control and Errors'!E22</f>
        <v>42157.185682870368</v>
      </c>
      <c r="Q11" s="542"/>
      <c r="R11" s="542"/>
      <c r="S11" s="542"/>
      <c r="T11" s="543"/>
      <c r="U11" s="6"/>
      <c r="V11" s="6"/>
      <c r="W11" s="6"/>
      <c r="X11" s="6"/>
      <c r="Y11" s="6"/>
      <c r="Z11" s="6"/>
      <c r="AA11" s="6"/>
      <c r="AB11" s="6"/>
      <c r="AC11" s="7"/>
    </row>
    <row r="12" spans="1:29" x14ac:dyDescent="0.2">
      <c r="C12" s="5"/>
      <c r="D12" s="6"/>
      <c r="E12" s="6"/>
      <c r="F12" s="6"/>
      <c r="G12" s="6"/>
      <c r="H12" s="6"/>
      <c r="I12" s="6"/>
      <c r="J12" s="6"/>
      <c r="K12" s="6"/>
      <c r="L12" s="6"/>
      <c r="M12" s="6"/>
      <c r="N12" s="6"/>
      <c r="O12" s="6"/>
      <c r="P12" s="6"/>
      <c r="Q12" s="6"/>
      <c r="R12" s="6"/>
      <c r="S12" s="6"/>
      <c r="T12" s="6"/>
      <c r="U12" s="6"/>
      <c r="V12" s="6"/>
      <c r="W12" s="6"/>
      <c r="X12" s="6"/>
      <c r="Y12" s="6"/>
      <c r="Z12" s="6"/>
      <c r="AA12" s="6"/>
      <c r="AB12" s="6"/>
      <c r="AC12" s="7"/>
    </row>
    <row r="13" spans="1:29" ht="15" x14ac:dyDescent="0.2">
      <c r="C13" s="5"/>
      <c r="D13" s="72" t="s">
        <v>5</v>
      </c>
      <c r="E13" s="6"/>
      <c r="F13" s="6"/>
      <c r="G13" s="6"/>
      <c r="H13" s="6"/>
      <c r="I13" s="6"/>
      <c r="J13" s="6"/>
      <c r="K13" s="6"/>
      <c r="L13" s="6"/>
      <c r="M13" s="6"/>
      <c r="N13" s="6"/>
      <c r="O13" s="6"/>
      <c r="P13" s="6"/>
      <c r="Q13" s="6"/>
      <c r="R13" s="6"/>
      <c r="S13" s="6"/>
      <c r="T13" s="6"/>
      <c r="U13" s="6"/>
      <c r="V13" s="6"/>
      <c r="W13" s="6"/>
      <c r="X13" s="6"/>
      <c r="Y13" s="6"/>
      <c r="Z13" s="6"/>
      <c r="AA13" s="6"/>
      <c r="AB13" s="6"/>
      <c r="AC13" s="7"/>
    </row>
    <row r="14" spans="1:29" x14ac:dyDescent="0.2">
      <c r="C14" s="5"/>
      <c r="D14" s="544"/>
      <c r="E14" s="544"/>
      <c r="F14" s="544"/>
      <c r="G14" s="544"/>
      <c r="H14" s="544"/>
      <c r="I14" s="544"/>
      <c r="J14" s="544"/>
      <c r="K14" s="544"/>
      <c r="L14" s="544"/>
      <c r="M14" s="544"/>
      <c r="N14" s="544"/>
      <c r="O14" s="544"/>
      <c r="P14" s="544"/>
      <c r="Q14" s="544"/>
      <c r="R14" s="544"/>
      <c r="S14" s="544"/>
      <c r="T14" s="544"/>
      <c r="U14" s="544"/>
      <c r="V14" s="544"/>
      <c r="W14" s="544"/>
      <c r="X14" s="544"/>
      <c r="Y14" s="544"/>
      <c r="Z14" s="544"/>
      <c r="AA14" s="544"/>
      <c r="AB14" s="544"/>
      <c r="AC14" s="7"/>
    </row>
    <row r="15" spans="1:29" ht="65.099999999999994" customHeight="1" x14ac:dyDescent="0.2">
      <c r="C15" s="5"/>
      <c r="D15" s="545" t="s">
        <v>749</v>
      </c>
      <c r="E15" s="545"/>
      <c r="F15" s="545"/>
      <c r="G15" s="545"/>
      <c r="H15" s="545"/>
      <c r="I15" s="545"/>
      <c r="J15" s="545"/>
      <c r="K15" s="545"/>
      <c r="L15" s="545"/>
      <c r="M15" s="545"/>
      <c r="N15" s="545"/>
      <c r="O15" s="545"/>
      <c r="P15" s="545"/>
      <c r="Q15" s="545"/>
      <c r="R15" s="545"/>
      <c r="S15" s="545"/>
      <c r="T15" s="545"/>
      <c r="U15" s="545"/>
      <c r="V15" s="545"/>
      <c r="W15" s="545"/>
      <c r="X15" s="545"/>
      <c r="Y15" s="545"/>
      <c r="Z15" s="545"/>
      <c r="AA15" s="545"/>
      <c r="AB15" s="545"/>
      <c r="AC15" s="7"/>
    </row>
    <row r="16" spans="1:29" ht="65.099999999999994" customHeight="1" x14ac:dyDescent="0.2">
      <c r="C16" s="5"/>
      <c r="D16" s="545"/>
      <c r="E16" s="545"/>
      <c r="F16" s="545"/>
      <c r="G16" s="545"/>
      <c r="H16" s="545"/>
      <c r="I16" s="545"/>
      <c r="J16" s="545"/>
      <c r="K16" s="545"/>
      <c r="L16" s="545"/>
      <c r="M16" s="545"/>
      <c r="N16" s="545"/>
      <c r="O16" s="545"/>
      <c r="P16" s="545"/>
      <c r="Q16" s="545"/>
      <c r="R16" s="545"/>
      <c r="S16" s="545"/>
      <c r="T16" s="545"/>
      <c r="U16" s="545"/>
      <c r="V16" s="545"/>
      <c r="W16" s="545"/>
      <c r="X16" s="545"/>
      <c r="Y16" s="545"/>
      <c r="Z16" s="545"/>
      <c r="AA16" s="545"/>
      <c r="AB16" s="545"/>
      <c r="AC16" s="7"/>
    </row>
    <row r="17" spans="3:29" ht="65.099999999999994" customHeight="1" x14ac:dyDescent="0.2">
      <c r="C17" s="5"/>
      <c r="D17" s="545"/>
      <c r="E17" s="545"/>
      <c r="F17" s="545"/>
      <c r="G17" s="545"/>
      <c r="H17" s="545"/>
      <c r="I17" s="545"/>
      <c r="J17" s="545"/>
      <c r="K17" s="545"/>
      <c r="L17" s="545"/>
      <c r="M17" s="545"/>
      <c r="N17" s="545"/>
      <c r="O17" s="545"/>
      <c r="P17" s="545"/>
      <c r="Q17" s="545"/>
      <c r="R17" s="545"/>
      <c r="S17" s="545"/>
      <c r="T17" s="545"/>
      <c r="U17" s="545"/>
      <c r="V17" s="545"/>
      <c r="W17" s="545"/>
      <c r="X17" s="545"/>
      <c r="Y17" s="545"/>
      <c r="Z17" s="545"/>
      <c r="AA17" s="545"/>
      <c r="AB17" s="545"/>
      <c r="AC17" s="7"/>
    </row>
    <row r="18" spans="3:29" x14ac:dyDescent="0.2">
      <c r="C18" s="5"/>
      <c r="D18" s="514"/>
      <c r="E18" s="514"/>
      <c r="F18" s="514"/>
      <c r="G18" s="514"/>
      <c r="H18" s="514"/>
      <c r="I18" s="514"/>
      <c r="J18" s="514"/>
      <c r="K18" s="514"/>
      <c r="L18" s="514"/>
      <c r="M18" s="514"/>
      <c r="N18" s="514"/>
      <c r="O18" s="514"/>
      <c r="P18" s="514"/>
      <c r="Q18" s="514"/>
      <c r="R18" s="514"/>
      <c r="S18" s="514"/>
      <c r="T18" s="514"/>
      <c r="U18" s="514"/>
      <c r="V18" s="514"/>
      <c r="W18" s="514"/>
      <c r="X18" s="514"/>
      <c r="Y18" s="514"/>
      <c r="Z18" s="514"/>
      <c r="AA18" s="514"/>
      <c r="AB18" s="514"/>
      <c r="AC18" s="7"/>
    </row>
    <row r="19" spans="3:29" ht="13.5" thickBot="1" x14ac:dyDescent="0.25">
      <c r="C19" s="8"/>
      <c r="D19" s="9"/>
      <c r="E19" s="9"/>
      <c r="F19" s="9"/>
      <c r="G19" s="9"/>
      <c r="H19" s="9"/>
      <c r="I19" s="9"/>
      <c r="J19" s="9"/>
      <c r="K19" s="9"/>
      <c r="L19" s="9"/>
      <c r="M19" s="9"/>
      <c r="N19" s="9"/>
      <c r="O19" s="9"/>
      <c r="P19" s="9"/>
      <c r="Q19" s="9"/>
      <c r="R19" s="9"/>
      <c r="S19" s="9"/>
      <c r="T19" s="9"/>
      <c r="U19" s="9"/>
      <c r="V19" s="9"/>
      <c r="W19" s="9"/>
      <c r="X19" s="9"/>
      <c r="Y19" s="9"/>
      <c r="Z19" s="9"/>
      <c r="AA19" s="9"/>
      <c r="AB19" s="9"/>
      <c r="AC19" s="10"/>
    </row>
  </sheetData>
  <sheetProtection formatColumns="0" formatRows="0" selectLockedCells="1" autoFilter="0" selectUnlockedCells="1"/>
  <dataConsolidate/>
  <mergeCells count="10">
    <mergeCell ref="D18:AB18"/>
    <mergeCell ref="D4:H11"/>
    <mergeCell ref="J4:T7"/>
    <mergeCell ref="J8:T9"/>
    <mergeCell ref="J10:O10"/>
    <mergeCell ref="P10:T10"/>
    <mergeCell ref="J11:O11"/>
    <mergeCell ref="P11:T11"/>
    <mergeCell ref="D14:AB14"/>
    <mergeCell ref="D15:AB17"/>
  </mergeCells>
  <conditionalFormatting sqref="A1">
    <cfRule type="containsText" dxfId="19" priority="1" stopIfTrue="1" operator="containsText" text="Err">
      <formula>NOT(ISERROR(SEARCH("Err",A1)))</formula>
    </cfRule>
  </conditionalFormatting>
  <dataValidations count="4">
    <dataValidation type="list" allowBlank="1" showInputMessage="1" showErrorMessage="1" sqref="D65531 IZ65531 SV65531 ACR65531 AMN65531 AWJ65531 BGF65531 BQB65531 BZX65531 CJT65531 CTP65531 DDL65531 DNH65531 DXD65531 EGZ65531 EQV65531 FAR65531 FKN65531 FUJ65531 GEF65531 GOB65531 GXX65531 HHT65531 HRP65531 IBL65531 ILH65531 IVD65531 JEZ65531 JOV65531 JYR65531 KIN65531 KSJ65531 LCF65531 LMB65531 LVX65531 MFT65531 MPP65531 MZL65531 NJH65531 NTD65531 OCZ65531 OMV65531 OWR65531 PGN65531 PQJ65531 QAF65531 QKB65531 QTX65531 RDT65531 RNP65531 RXL65531 SHH65531 SRD65531 TAZ65531 TKV65531 TUR65531 UEN65531 UOJ65531 UYF65531 VIB65531 VRX65531 WBT65531 WLP65531 WVL65531 D131067 IZ131067 SV131067 ACR131067 AMN131067 AWJ131067 BGF131067 BQB131067 BZX131067 CJT131067 CTP131067 DDL131067 DNH131067 DXD131067 EGZ131067 EQV131067 FAR131067 FKN131067 FUJ131067 GEF131067 GOB131067 GXX131067 HHT131067 HRP131067 IBL131067 ILH131067 IVD131067 JEZ131067 JOV131067 JYR131067 KIN131067 KSJ131067 LCF131067 LMB131067 LVX131067 MFT131067 MPP131067 MZL131067 NJH131067 NTD131067 OCZ131067 OMV131067 OWR131067 PGN131067 PQJ131067 QAF131067 QKB131067 QTX131067 RDT131067 RNP131067 RXL131067 SHH131067 SRD131067 TAZ131067 TKV131067 TUR131067 UEN131067 UOJ131067 UYF131067 VIB131067 VRX131067 WBT131067 WLP131067 WVL131067 D196603 IZ196603 SV196603 ACR196603 AMN196603 AWJ196603 BGF196603 BQB196603 BZX196603 CJT196603 CTP196603 DDL196603 DNH196603 DXD196603 EGZ196603 EQV196603 FAR196603 FKN196603 FUJ196603 GEF196603 GOB196603 GXX196603 HHT196603 HRP196603 IBL196603 ILH196603 IVD196603 JEZ196603 JOV196603 JYR196603 KIN196603 KSJ196603 LCF196603 LMB196603 LVX196603 MFT196603 MPP196603 MZL196603 NJH196603 NTD196603 OCZ196603 OMV196603 OWR196603 PGN196603 PQJ196603 QAF196603 QKB196603 QTX196603 RDT196603 RNP196603 RXL196603 SHH196603 SRD196603 TAZ196603 TKV196603 TUR196603 UEN196603 UOJ196603 UYF196603 VIB196603 VRX196603 WBT196603 WLP196603 WVL196603 D262139 IZ262139 SV262139 ACR262139 AMN262139 AWJ262139 BGF262139 BQB262139 BZX262139 CJT262139 CTP262139 DDL262139 DNH262139 DXD262139 EGZ262139 EQV262139 FAR262139 FKN262139 FUJ262139 GEF262139 GOB262139 GXX262139 HHT262139 HRP262139 IBL262139 ILH262139 IVD262139 JEZ262139 JOV262139 JYR262139 KIN262139 KSJ262139 LCF262139 LMB262139 LVX262139 MFT262139 MPP262139 MZL262139 NJH262139 NTD262139 OCZ262139 OMV262139 OWR262139 PGN262139 PQJ262139 QAF262139 QKB262139 QTX262139 RDT262139 RNP262139 RXL262139 SHH262139 SRD262139 TAZ262139 TKV262139 TUR262139 UEN262139 UOJ262139 UYF262139 VIB262139 VRX262139 WBT262139 WLP262139 WVL262139 D327675 IZ327675 SV327675 ACR327675 AMN327675 AWJ327675 BGF327675 BQB327675 BZX327675 CJT327675 CTP327675 DDL327675 DNH327675 DXD327675 EGZ327675 EQV327675 FAR327675 FKN327675 FUJ327675 GEF327675 GOB327675 GXX327675 HHT327675 HRP327675 IBL327675 ILH327675 IVD327675 JEZ327675 JOV327675 JYR327675 KIN327675 KSJ327675 LCF327675 LMB327675 LVX327675 MFT327675 MPP327675 MZL327675 NJH327675 NTD327675 OCZ327675 OMV327675 OWR327675 PGN327675 PQJ327675 QAF327675 QKB327675 QTX327675 RDT327675 RNP327675 RXL327675 SHH327675 SRD327675 TAZ327675 TKV327675 TUR327675 UEN327675 UOJ327675 UYF327675 VIB327675 VRX327675 WBT327675 WLP327675 WVL327675 D393211 IZ393211 SV393211 ACR393211 AMN393211 AWJ393211 BGF393211 BQB393211 BZX393211 CJT393211 CTP393211 DDL393211 DNH393211 DXD393211 EGZ393211 EQV393211 FAR393211 FKN393211 FUJ393211 GEF393211 GOB393211 GXX393211 HHT393211 HRP393211 IBL393211 ILH393211 IVD393211 JEZ393211 JOV393211 JYR393211 KIN393211 KSJ393211 LCF393211 LMB393211 LVX393211 MFT393211 MPP393211 MZL393211 NJH393211 NTD393211 OCZ393211 OMV393211 OWR393211 PGN393211 PQJ393211 QAF393211 QKB393211 QTX393211 RDT393211 RNP393211 RXL393211 SHH393211 SRD393211 TAZ393211 TKV393211 TUR393211 UEN393211 UOJ393211 UYF393211 VIB393211 VRX393211 WBT393211 WLP393211 WVL393211 D458747 IZ458747 SV458747 ACR458747 AMN458747 AWJ458747 BGF458747 BQB458747 BZX458747 CJT458747 CTP458747 DDL458747 DNH458747 DXD458747 EGZ458747 EQV458747 FAR458747 FKN458747 FUJ458747 GEF458747 GOB458747 GXX458747 HHT458747 HRP458747 IBL458747 ILH458747 IVD458747 JEZ458747 JOV458747 JYR458747 KIN458747 KSJ458747 LCF458747 LMB458747 LVX458747 MFT458747 MPP458747 MZL458747 NJH458747 NTD458747 OCZ458747 OMV458747 OWR458747 PGN458747 PQJ458747 QAF458747 QKB458747 QTX458747 RDT458747 RNP458747 RXL458747 SHH458747 SRD458747 TAZ458747 TKV458747 TUR458747 UEN458747 UOJ458747 UYF458747 VIB458747 VRX458747 WBT458747 WLP458747 WVL458747 D524283 IZ524283 SV524283 ACR524283 AMN524283 AWJ524283 BGF524283 BQB524283 BZX524283 CJT524283 CTP524283 DDL524283 DNH524283 DXD524283 EGZ524283 EQV524283 FAR524283 FKN524283 FUJ524283 GEF524283 GOB524283 GXX524283 HHT524283 HRP524283 IBL524283 ILH524283 IVD524283 JEZ524283 JOV524283 JYR524283 KIN524283 KSJ524283 LCF524283 LMB524283 LVX524283 MFT524283 MPP524283 MZL524283 NJH524283 NTD524283 OCZ524283 OMV524283 OWR524283 PGN524283 PQJ524283 QAF524283 QKB524283 QTX524283 RDT524283 RNP524283 RXL524283 SHH524283 SRD524283 TAZ524283 TKV524283 TUR524283 UEN524283 UOJ524283 UYF524283 VIB524283 VRX524283 WBT524283 WLP524283 WVL524283 D589819 IZ589819 SV589819 ACR589819 AMN589819 AWJ589819 BGF589819 BQB589819 BZX589819 CJT589819 CTP589819 DDL589819 DNH589819 DXD589819 EGZ589819 EQV589819 FAR589819 FKN589819 FUJ589819 GEF589819 GOB589819 GXX589819 HHT589819 HRP589819 IBL589819 ILH589819 IVD589819 JEZ589819 JOV589819 JYR589819 KIN589819 KSJ589819 LCF589819 LMB589819 LVX589819 MFT589819 MPP589819 MZL589819 NJH589819 NTD589819 OCZ589819 OMV589819 OWR589819 PGN589819 PQJ589819 QAF589819 QKB589819 QTX589819 RDT589819 RNP589819 RXL589819 SHH589819 SRD589819 TAZ589819 TKV589819 TUR589819 UEN589819 UOJ589819 UYF589819 VIB589819 VRX589819 WBT589819 WLP589819 WVL589819 D655355 IZ655355 SV655355 ACR655355 AMN655355 AWJ655355 BGF655355 BQB655355 BZX655355 CJT655355 CTP655355 DDL655355 DNH655355 DXD655355 EGZ655355 EQV655355 FAR655355 FKN655355 FUJ655355 GEF655355 GOB655355 GXX655355 HHT655355 HRP655355 IBL655355 ILH655355 IVD655355 JEZ655355 JOV655355 JYR655355 KIN655355 KSJ655355 LCF655355 LMB655355 LVX655355 MFT655355 MPP655355 MZL655355 NJH655355 NTD655355 OCZ655355 OMV655355 OWR655355 PGN655355 PQJ655355 QAF655355 QKB655355 QTX655355 RDT655355 RNP655355 RXL655355 SHH655355 SRD655355 TAZ655355 TKV655355 TUR655355 UEN655355 UOJ655355 UYF655355 VIB655355 VRX655355 WBT655355 WLP655355 WVL655355 D720891 IZ720891 SV720891 ACR720891 AMN720891 AWJ720891 BGF720891 BQB720891 BZX720891 CJT720891 CTP720891 DDL720891 DNH720891 DXD720891 EGZ720891 EQV720891 FAR720891 FKN720891 FUJ720891 GEF720891 GOB720891 GXX720891 HHT720891 HRP720891 IBL720891 ILH720891 IVD720891 JEZ720891 JOV720891 JYR720891 KIN720891 KSJ720891 LCF720891 LMB720891 LVX720891 MFT720891 MPP720891 MZL720891 NJH720891 NTD720891 OCZ720891 OMV720891 OWR720891 PGN720891 PQJ720891 QAF720891 QKB720891 QTX720891 RDT720891 RNP720891 RXL720891 SHH720891 SRD720891 TAZ720891 TKV720891 TUR720891 UEN720891 UOJ720891 UYF720891 VIB720891 VRX720891 WBT720891 WLP720891 WVL720891 D786427 IZ786427 SV786427 ACR786427 AMN786427 AWJ786427 BGF786427 BQB786427 BZX786427 CJT786427 CTP786427 DDL786427 DNH786427 DXD786427 EGZ786427 EQV786427 FAR786427 FKN786427 FUJ786427 GEF786427 GOB786427 GXX786427 HHT786427 HRP786427 IBL786427 ILH786427 IVD786427 JEZ786427 JOV786427 JYR786427 KIN786427 KSJ786427 LCF786427 LMB786427 LVX786427 MFT786427 MPP786427 MZL786427 NJH786427 NTD786427 OCZ786427 OMV786427 OWR786427 PGN786427 PQJ786427 QAF786427 QKB786427 QTX786427 RDT786427 RNP786427 RXL786427 SHH786427 SRD786427 TAZ786427 TKV786427 TUR786427 UEN786427 UOJ786427 UYF786427 VIB786427 VRX786427 WBT786427 WLP786427 WVL786427 D851963 IZ851963 SV851963 ACR851963 AMN851963 AWJ851963 BGF851963 BQB851963 BZX851963 CJT851963 CTP851963 DDL851963 DNH851963 DXD851963 EGZ851963 EQV851963 FAR851963 FKN851963 FUJ851963 GEF851963 GOB851963 GXX851963 HHT851963 HRP851963 IBL851963 ILH851963 IVD851963 JEZ851963 JOV851963 JYR851963 KIN851963 KSJ851963 LCF851963 LMB851963 LVX851963 MFT851963 MPP851963 MZL851963 NJH851963 NTD851963 OCZ851963 OMV851963 OWR851963 PGN851963 PQJ851963 QAF851963 QKB851963 QTX851963 RDT851963 RNP851963 RXL851963 SHH851963 SRD851963 TAZ851963 TKV851963 TUR851963 UEN851963 UOJ851963 UYF851963 VIB851963 VRX851963 WBT851963 WLP851963 WVL851963 D917499 IZ917499 SV917499 ACR917499 AMN917499 AWJ917499 BGF917499 BQB917499 BZX917499 CJT917499 CTP917499 DDL917499 DNH917499 DXD917499 EGZ917499 EQV917499 FAR917499 FKN917499 FUJ917499 GEF917499 GOB917499 GXX917499 HHT917499 HRP917499 IBL917499 ILH917499 IVD917499 JEZ917499 JOV917499 JYR917499 KIN917499 KSJ917499 LCF917499 LMB917499 LVX917499 MFT917499 MPP917499 MZL917499 NJH917499 NTD917499 OCZ917499 OMV917499 OWR917499 PGN917499 PQJ917499 QAF917499 QKB917499 QTX917499 RDT917499 RNP917499 RXL917499 SHH917499 SRD917499 TAZ917499 TKV917499 TUR917499 UEN917499 UOJ917499 UYF917499 VIB917499 VRX917499 WBT917499 WLP917499 WVL917499 D983035 IZ983035 SV983035 ACR983035 AMN983035 AWJ983035 BGF983035 BQB983035 BZX983035 CJT983035 CTP983035 DDL983035 DNH983035 DXD983035 EGZ983035 EQV983035 FAR983035 FKN983035 FUJ983035 GEF983035 GOB983035 GXX983035 HHT983035 HRP983035 IBL983035 ILH983035 IVD983035 JEZ983035 JOV983035 JYR983035 KIN983035 KSJ983035 LCF983035 LMB983035 LVX983035 MFT983035 MPP983035 MZL983035 NJH983035 NTD983035 OCZ983035 OMV983035 OWR983035 PGN983035 PQJ983035 QAF983035 QKB983035 QTX983035 RDT983035 RNP983035 RXL983035 SHH983035 SRD983035 TAZ983035 TKV983035 TUR983035 UEN983035 UOJ983035 UYF983035 VIB983035 VRX983035 WBT983035 WLP983035 WVL983035 WVL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formula1>l_Status</formula1>
    </dataValidation>
    <dataValidation type="list" allowBlank="1" showInputMessage="1" showErrorMessage="1" sqref="C65531 IY65531 SU65531 ACQ65531 AMM65531 AWI65531 BGE65531 BQA65531 BZW65531 CJS65531 CTO65531 DDK65531 DNG65531 DXC65531 EGY65531 EQU65531 FAQ65531 FKM65531 FUI65531 GEE65531 GOA65531 GXW65531 HHS65531 HRO65531 IBK65531 ILG65531 IVC65531 JEY65531 JOU65531 JYQ65531 KIM65531 KSI65531 LCE65531 LMA65531 LVW65531 MFS65531 MPO65531 MZK65531 NJG65531 NTC65531 OCY65531 OMU65531 OWQ65531 PGM65531 PQI65531 QAE65531 QKA65531 QTW65531 RDS65531 RNO65531 RXK65531 SHG65531 SRC65531 TAY65531 TKU65531 TUQ65531 UEM65531 UOI65531 UYE65531 VIA65531 VRW65531 WBS65531 WLO65531 WVK65531 C131067 IY131067 SU131067 ACQ131067 AMM131067 AWI131067 BGE131067 BQA131067 BZW131067 CJS131067 CTO131067 DDK131067 DNG131067 DXC131067 EGY131067 EQU131067 FAQ131067 FKM131067 FUI131067 GEE131067 GOA131067 GXW131067 HHS131067 HRO131067 IBK131067 ILG131067 IVC131067 JEY131067 JOU131067 JYQ131067 KIM131067 KSI131067 LCE131067 LMA131067 LVW131067 MFS131067 MPO131067 MZK131067 NJG131067 NTC131067 OCY131067 OMU131067 OWQ131067 PGM131067 PQI131067 QAE131067 QKA131067 QTW131067 RDS131067 RNO131067 RXK131067 SHG131067 SRC131067 TAY131067 TKU131067 TUQ131067 UEM131067 UOI131067 UYE131067 VIA131067 VRW131067 WBS131067 WLO131067 WVK131067 C196603 IY196603 SU196603 ACQ196603 AMM196603 AWI196603 BGE196603 BQA196603 BZW196603 CJS196603 CTO196603 DDK196603 DNG196603 DXC196603 EGY196603 EQU196603 FAQ196603 FKM196603 FUI196603 GEE196603 GOA196603 GXW196603 HHS196603 HRO196603 IBK196603 ILG196603 IVC196603 JEY196603 JOU196603 JYQ196603 KIM196603 KSI196603 LCE196603 LMA196603 LVW196603 MFS196603 MPO196603 MZK196603 NJG196603 NTC196603 OCY196603 OMU196603 OWQ196603 PGM196603 PQI196603 QAE196603 QKA196603 QTW196603 RDS196603 RNO196603 RXK196603 SHG196603 SRC196603 TAY196603 TKU196603 TUQ196603 UEM196603 UOI196603 UYE196603 VIA196603 VRW196603 WBS196603 WLO196603 WVK196603 C262139 IY262139 SU262139 ACQ262139 AMM262139 AWI262139 BGE262139 BQA262139 BZW262139 CJS262139 CTO262139 DDK262139 DNG262139 DXC262139 EGY262139 EQU262139 FAQ262139 FKM262139 FUI262139 GEE262139 GOA262139 GXW262139 HHS262139 HRO262139 IBK262139 ILG262139 IVC262139 JEY262139 JOU262139 JYQ262139 KIM262139 KSI262139 LCE262139 LMA262139 LVW262139 MFS262139 MPO262139 MZK262139 NJG262139 NTC262139 OCY262139 OMU262139 OWQ262139 PGM262139 PQI262139 QAE262139 QKA262139 QTW262139 RDS262139 RNO262139 RXK262139 SHG262139 SRC262139 TAY262139 TKU262139 TUQ262139 UEM262139 UOI262139 UYE262139 VIA262139 VRW262139 WBS262139 WLO262139 WVK262139 C327675 IY327675 SU327675 ACQ327675 AMM327675 AWI327675 BGE327675 BQA327675 BZW327675 CJS327675 CTO327675 DDK327675 DNG327675 DXC327675 EGY327675 EQU327675 FAQ327675 FKM327675 FUI327675 GEE327675 GOA327675 GXW327675 HHS327675 HRO327675 IBK327675 ILG327675 IVC327675 JEY327675 JOU327675 JYQ327675 KIM327675 KSI327675 LCE327675 LMA327675 LVW327675 MFS327675 MPO327675 MZK327675 NJG327675 NTC327675 OCY327675 OMU327675 OWQ327675 PGM327675 PQI327675 QAE327675 QKA327675 QTW327675 RDS327675 RNO327675 RXK327675 SHG327675 SRC327675 TAY327675 TKU327675 TUQ327675 UEM327675 UOI327675 UYE327675 VIA327675 VRW327675 WBS327675 WLO327675 WVK327675 C393211 IY393211 SU393211 ACQ393211 AMM393211 AWI393211 BGE393211 BQA393211 BZW393211 CJS393211 CTO393211 DDK393211 DNG393211 DXC393211 EGY393211 EQU393211 FAQ393211 FKM393211 FUI393211 GEE393211 GOA393211 GXW393211 HHS393211 HRO393211 IBK393211 ILG393211 IVC393211 JEY393211 JOU393211 JYQ393211 KIM393211 KSI393211 LCE393211 LMA393211 LVW393211 MFS393211 MPO393211 MZK393211 NJG393211 NTC393211 OCY393211 OMU393211 OWQ393211 PGM393211 PQI393211 QAE393211 QKA393211 QTW393211 RDS393211 RNO393211 RXK393211 SHG393211 SRC393211 TAY393211 TKU393211 TUQ393211 UEM393211 UOI393211 UYE393211 VIA393211 VRW393211 WBS393211 WLO393211 WVK393211 C458747 IY458747 SU458747 ACQ458747 AMM458747 AWI458747 BGE458747 BQA458747 BZW458747 CJS458747 CTO458747 DDK458747 DNG458747 DXC458747 EGY458747 EQU458747 FAQ458747 FKM458747 FUI458747 GEE458747 GOA458747 GXW458747 HHS458747 HRO458747 IBK458747 ILG458747 IVC458747 JEY458747 JOU458747 JYQ458747 KIM458747 KSI458747 LCE458747 LMA458747 LVW458747 MFS458747 MPO458747 MZK458747 NJG458747 NTC458747 OCY458747 OMU458747 OWQ458747 PGM458747 PQI458747 QAE458747 QKA458747 QTW458747 RDS458747 RNO458747 RXK458747 SHG458747 SRC458747 TAY458747 TKU458747 TUQ458747 UEM458747 UOI458747 UYE458747 VIA458747 VRW458747 WBS458747 WLO458747 WVK458747 C524283 IY524283 SU524283 ACQ524283 AMM524283 AWI524283 BGE524283 BQA524283 BZW524283 CJS524283 CTO524283 DDK524283 DNG524283 DXC524283 EGY524283 EQU524283 FAQ524283 FKM524283 FUI524283 GEE524283 GOA524283 GXW524283 HHS524283 HRO524283 IBK524283 ILG524283 IVC524283 JEY524283 JOU524283 JYQ524283 KIM524283 KSI524283 LCE524283 LMA524283 LVW524283 MFS524283 MPO524283 MZK524283 NJG524283 NTC524283 OCY524283 OMU524283 OWQ524283 PGM524283 PQI524283 QAE524283 QKA524283 QTW524283 RDS524283 RNO524283 RXK524283 SHG524283 SRC524283 TAY524283 TKU524283 TUQ524283 UEM524283 UOI524283 UYE524283 VIA524283 VRW524283 WBS524283 WLO524283 WVK524283 C589819 IY589819 SU589819 ACQ589819 AMM589819 AWI589819 BGE589819 BQA589819 BZW589819 CJS589819 CTO589819 DDK589819 DNG589819 DXC589819 EGY589819 EQU589819 FAQ589819 FKM589819 FUI589819 GEE589819 GOA589819 GXW589819 HHS589819 HRO589819 IBK589819 ILG589819 IVC589819 JEY589819 JOU589819 JYQ589819 KIM589819 KSI589819 LCE589819 LMA589819 LVW589819 MFS589819 MPO589819 MZK589819 NJG589819 NTC589819 OCY589819 OMU589819 OWQ589819 PGM589819 PQI589819 QAE589819 QKA589819 QTW589819 RDS589819 RNO589819 RXK589819 SHG589819 SRC589819 TAY589819 TKU589819 TUQ589819 UEM589819 UOI589819 UYE589819 VIA589819 VRW589819 WBS589819 WLO589819 WVK589819 C655355 IY655355 SU655355 ACQ655355 AMM655355 AWI655355 BGE655355 BQA655355 BZW655355 CJS655355 CTO655355 DDK655355 DNG655355 DXC655355 EGY655355 EQU655355 FAQ655355 FKM655355 FUI655355 GEE655355 GOA655355 GXW655355 HHS655355 HRO655355 IBK655355 ILG655355 IVC655355 JEY655355 JOU655355 JYQ655355 KIM655355 KSI655355 LCE655355 LMA655355 LVW655355 MFS655355 MPO655355 MZK655355 NJG655355 NTC655355 OCY655355 OMU655355 OWQ655355 PGM655355 PQI655355 QAE655355 QKA655355 QTW655355 RDS655355 RNO655355 RXK655355 SHG655355 SRC655355 TAY655355 TKU655355 TUQ655355 UEM655355 UOI655355 UYE655355 VIA655355 VRW655355 WBS655355 WLO655355 WVK655355 C720891 IY720891 SU720891 ACQ720891 AMM720891 AWI720891 BGE720891 BQA720891 BZW720891 CJS720891 CTO720891 DDK720891 DNG720891 DXC720891 EGY720891 EQU720891 FAQ720891 FKM720891 FUI720891 GEE720891 GOA720891 GXW720891 HHS720891 HRO720891 IBK720891 ILG720891 IVC720891 JEY720891 JOU720891 JYQ720891 KIM720891 KSI720891 LCE720891 LMA720891 LVW720891 MFS720891 MPO720891 MZK720891 NJG720891 NTC720891 OCY720891 OMU720891 OWQ720891 PGM720891 PQI720891 QAE720891 QKA720891 QTW720891 RDS720891 RNO720891 RXK720891 SHG720891 SRC720891 TAY720891 TKU720891 TUQ720891 UEM720891 UOI720891 UYE720891 VIA720891 VRW720891 WBS720891 WLO720891 WVK720891 C786427 IY786427 SU786427 ACQ786427 AMM786427 AWI786427 BGE786427 BQA786427 BZW786427 CJS786427 CTO786427 DDK786427 DNG786427 DXC786427 EGY786427 EQU786427 FAQ786427 FKM786427 FUI786427 GEE786427 GOA786427 GXW786427 HHS786427 HRO786427 IBK786427 ILG786427 IVC786427 JEY786427 JOU786427 JYQ786427 KIM786427 KSI786427 LCE786427 LMA786427 LVW786427 MFS786427 MPO786427 MZK786427 NJG786427 NTC786427 OCY786427 OMU786427 OWQ786427 PGM786427 PQI786427 QAE786427 QKA786427 QTW786427 RDS786427 RNO786427 RXK786427 SHG786427 SRC786427 TAY786427 TKU786427 TUQ786427 UEM786427 UOI786427 UYE786427 VIA786427 VRW786427 WBS786427 WLO786427 WVK786427 C851963 IY851963 SU851963 ACQ851963 AMM851963 AWI851963 BGE851963 BQA851963 BZW851963 CJS851963 CTO851963 DDK851963 DNG851963 DXC851963 EGY851963 EQU851963 FAQ851963 FKM851963 FUI851963 GEE851963 GOA851963 GXW851963 HHS851963 HRO851963 IBK851963 ILG851963 IVC851963 JEY851963 JOU851963 JYQ851963 KIM851963 KSI851963 LCE851963 LMA851963 LVW851963 MFS851963 MPO851963 MZK851963 NJG851963 NTC851963 OCY851963 OMU851963 OWQ851963 PGM851963 PQI851963 QAE851963 QKA851963 QTW851963 RDS851963 RNO851963 RXK851963 SHG851963 SRC851963 TAY851963 TKU851963 TUQ851963 UEM851963 UOI851963 UYE851963 VIA851963 VRW851963 WBS851963 WLO851963 WVK851963 C917499 IY917499 SU917499 ACQ917499 AMM917499 AWI917499 BGE917499 BQA917499 BZW917499 CJS917499 CTO917499 DDK917499 DNG917499 DXC917499 EGY917499 EQU917499 FAQ917499 FKM917499 FUI917499 GEE917499 GOA917499 GXW917499 HHS917499 HRO917499 IBK917499 ILG917499 IVC917499 JEY917499 JOU917499 JYQ917499 KIM917499 KSI917499 LCE917499 LMA917499 LVW917499 MFS917499 MPO917499 MZK917499 NJG917499 NTC917499 OCY917499 OMU917499 OWQ917499 PGM917499 PQI917499 QAE917499 QKA917499 QTW917499 RDS917499 RNO917499 RXK917499 SHG917499 SRC917499 TAY917499 TKU917499 TUQ917499 UEM917499 UOI917499 UYE917499 VIA917499 VRW917499 WBS917499 WLO917499 WVK917499 C983035 IY983035 SU983035 ACQ983035 AMM983035 AWI983035 BGE983035 BQA983035 BZW983035 CJS983035 CTO983035 DDK983035 DNG983035 DXC983035 EGY983035 EQU983035 FAQ983035 FKM983035 FUI983035 GEE983035 GOA983035 GXW983035 HHS983035 HRO983035 IBK983035 ILG983035 IVC983035 JEY983035 JOU983035 JYQ983035 KIM983035 KSI983035 LCE983035 LMA983035 LVW983035 MFS983035 MPO983035 MZK983035 NJG983035 NTC983035 OCY983035 OMU983035 OWQ983035 PGM983035 PQI983035 QAE983035 QKA983035 QTW983035 RDS983035 RNO983035 RXK983035 SHG983035 SRC983035 TAY983035 TKU983035 TUQ983035 UEM983035 UOI983035 UYE983035 VIA983035 VRW983035 WBS983035 WLO983035 WVK983035 WVK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formula1>l_SheetTypes</formula1>
    </dataValidation>
    <dataValidation type="list" allowBlank="1" showInputMessage="1" showErrorMessage="1" sqref="E65531 JA65531 SW65531 ACS65531 AMO65531 AWK65531 BGG65531 BQC65531 BZY65531 CJU65531 CTQ65531 DDM65531 DNI65531 DXE65531 EHA65531 EQW65531 FAS65531 FKO65531 FUK65531 GEG65531 GOC65531 GXY65531 HHU65531 HRQ65531 IBM65531 ILI65531 IVE65531 JFA65531 JOW65531 JYS65531 KIO65531 KSK65531 LCG65531 LMC65531 LVY65531 MFU65531 MPQ65531 MZM65531 NJI65531 NTE65531 ODA65531 OMW65531 OWS65531 PGO65531 PQK65531 QAG65531 QKC65531 QTY65531 RDU65531 RNQ65531 RXM65531 SHI65531 SRE65531 TBA65531 TKW65531 TUS65531 UEO65531 UOK65531 UYG65531 VIC65531 VRY65531 WBU65531 WLQ65531 WVM65531 E131067 JA131067 SW131067 ACS131067 AMO131067 AWK131067 BGG131067 BQC131067 BZY131067 CJU131067 CTQ131067 DDM131067 DNI131067 DXE131067 EHA131067 EQW131067 FAS131067 FKO131067 FUK131067 GEG131067 GOC131067 GXY131067 HHU131067 HRQ131067 IBM131067 ILI131067 IVE131067 JFA131067 JOW131067 JYS131067 KIO131067 KSK131067 LCG131067 LMC131067 LVY131067 MFU131067 MPQ131067 MZM131067 NJI131067 NTE131067 ODA131067 OMW131067 OWS131067 PGO131067 PQK131067 QAG131067 QKC131067 QTY131067 RDU131067 RNQ131067 RXM131067 SHI131067 SRE131067 TBA131067 TKW131067 TUS131067 UEO131067 UOK131067 UYG131067 VIC131067 VRY131067 WBU131067 WLQ131067 WVM131067 E196603 JA196603 SW196603 ACS196603 AMO196603 AWK196603 BGG196603 BQC196603 BZY196603 CJU196603 CTQ196603 DDM196603 DNI196603 DXE196603 EHA196603 EQW196603 FAS196603 FKO196603 FUK196603 GEG196603 GOC196603 GXY196603 HHU196603 HRQ196603 IBM196603 ILI196603 IVE196603 JFA196603 JOW196603 JYS196603 KIO196603 KSK196603 LCG196603 LMC196603 LVY196603 MFU196603 MPQ196603 MZM196603 NJI196603 NTE196603 ODA196603 OMW196603 OWS196603 PGO196603 PQK196603 QAG196603 QKC196603 QTY196603 RDU196603 RNQ196603 RXM196603 SHI196603 SRE196603 TBA196603 TKW196603 TUS196603 UEO196603 UOK196603 UYG196603 VIC196603 VRY196603 WBU196603 WLQ196603 WVM196603 E262139 JA262139 SW262139 ACS262139 AMO262139 AWK262139 BGG262139 BQC262139 BZY262139 CJU262139 CTQ262139 DDM262139 DNI262139 DXE262139 EHA262139 EQW262139 FAS262139 FKO262139 FUK262139 GEG262139 GOC262139 GXY262139 HHU262139 HRQ262139 IBM262139 ILI262139 IVE262139 JFA262139 JOW262139 JYS262139 KIO262139 KSK262139 LCG262139 LMC262139 LVY262139 MFU262139 MPQ262139 MZM262139 NJI262139 NTE262139 ODA262139 OMW262139 OWS262139 PGO262139 PQK262139 QAG262139 QKC262139 QTY262139 RDU262139 RNQ262139 RXM262139 SHI262139 SRE262139 TBA262139 TKW262139 TUS262139 UEO262139 UOK262139 UYG262139 VIC262139 VRY262139 WBU262139 WLQ262139 WVM262139 E327675 JA327675 SW327675 ACS327675 AMO327675 AWK327675 BGG327675 BQC327675 BZY327675 CJU327675 CTQ327675 DDM327675 DNI327675 DXE327675 EHA327675 EQW327675 FAS327675 FKO327675 FUK327675 GEG327675 GOC327675 GXY327675 HHU327675 HRQ327675 IBM327675 ILI327675 IVE327675 JFA327675 JOW327675 JYS327675 KIO327675 KSK327675 LCG327675 LMC327675 LVY327675 MFU327675 MPQ327675 MZM327675 NJI327675 NTE327675 ODA327675 OMW327675 OWS327675 PGO327675 PQK327675 QAG327675 QKC327675 QTY327675 RDU327675 RNQ327675 RXM327675 SHI327675 SRE327675 TBA327675 TKW327675 TUS327675 UEO327675 UOK327675 UYG327675 VIC327675 VRY327675 WBU327675 WLQ327675 WVM327675 E393211 JA393211 SW393211 ACS393211 AMO393211 AWK393211 BGG393211 BQC393211 BZY393211 CJU393211 CTQ393211 DDM393211 DNI393211 DXE393211 EHA393211 EQW393211 FAS393211 FKO393211 FUK393211 GEG393211 GOC393211 GXY393211 HHU393211 HRQ393211 IBM393211 ILI393211 IVE393211 JFA393211 JOW393211 JYS393211 KIO393211 KSK393211 LCG393211 LMC393211 LVY393211 MFU393211 MPQ393211 MZM393211 NJI393211 NTE393211 ODA393211 OMW393211 OWS393211 PGO393211 PQK393211 QAG393211 QKC393211 QTY393211 RDU393211 RNQ393211 RXM393211 SHI393211 SRE393211 TBA393211 TKW393211 TUS393211 UEO393211 UOK393211 UYG393211 VIC393211 VRY393211 WBU393211 WLQ393211 WVM393211 E458747 JA458747 SW458747 ACS458747 AMO458747 AWK458747 BGG458747 BQC458747 BZY458747 CJU458747 CTQ458747 DDM458747 DNI458747 DXE458747 EHA458747 EQW458747 FAS458747 FKO458747 FUK458747 GEG458747 GOC458747 GXY458747 HHU458747 HRQ458747 IBM458747 ILI458747 IVE458747 JFA458747 JOW458747 JYS458747 KIO458747 KSK458747 LCG458747 LMC458747 LVY458747 MFU458747 MPQ458747 MZM458747 NJI458747 NTE458747 ODA458747 OMW458747 OWS458747 PGO458747 PQK458747 QAG458747 QKC458747 QTY458747 RDU458747 RNQ458747 RXM458747 SHI458747 SRE458747 TBA458747 TKW458747 TUS458747 UEO458747 UOK458747 UYG458747 VIC458747 VRY458747 WBU458747 WLQ458747 WVM458747 E524283 JA524283 SW524283 ACS524283 AMO524283 AWK524283 BGG524283 BQC524283 BZY524283 CJU524283 CTQ524283 DDM524283 DNI524283 DXE524283 EHA524283 EQW524283 FAS524283 FKO524283 FUK524283 GEG524283 GOC524283 GXY524283 HHU524283 HRQ524283 IBM524283 ILI524283 IVE524283 JFA524283 JOW524283 JYS524283 KIO524283 KSK524283 LCG524283 LMC524283 LVY524283 MFU524283 MPQ524283 MZM524283 NJI524283 NTE524283 ODA524283 OMW524283 OWS524283 PGO524283 PQK524283 QAG524283 QKC524283 QTY524283 RDU524283 RNQ524283 RXM524283 SHI524283 SRE524283 TBA524283 TKW524283 TUS524283 UEO524283 UOK524283 UYG524283 VIC524283 VRY524283 WBU524283 WLQ524283 WVM524283 E589819 JA589819 SW589819 ACS589819 AMO589819 AWK589819 BGG589819 BQC589819 BZY589819 CJU589819 CTQ589819 DDM589819 DNI589819 DXE589819 EHA589819 EQW589819 FAS589819 FKO589819 FUK589819 GEG589819 GOC589819 GXY589819 HHU589819 HRQ589819 IBM589819 ILI589819 IVE589819 JFA589819 JOW589819 JYS589819 KIO589819 KSK589819 LCG589819 LMC589819 LVY589819 MFU589819 MPQ589819 MZM589819 NJI589819 NTE589819 ODA589819 OMW589819 OWS589819 PGO589819 PQK589819 QAG589819 QKC589819 QTY589819 RDU589819 RNQ589819 RXM589819 SHI589819 SRE589819 TBA589819 TKW589819 TUS589819 UEO589819 UOK589819 UYG589819 VIC589819 VRY589819 WBU589819 WLQ589819 WVM589819 E655355 JA655355 SW655355 ACS655355 AMO655355 AWK655355 BGG655355 BQC655355 BZY655355 CJU655355 CTQ655355 DDM655355 DNI655355 DXE655355 EHA655355 EQW655355 FAS655355 FKO655355 FUK655355 GEG655355 GOC655355 GXY655355 HHU655355 HRQ655355 IBM655355 ILI655355 IVE655355 JFA655355 JOW655355 JYS655355 KIO655355 KSK655355 LCG655355 LMC655355 LVY655355 MFU655355 MPQ655355 MZM655355 NJI655355 NTE655355 ODA655355 OMW655355 OWS655355 PGO655355 PQK655355 QAG655355 QKC655355 QTY655355 RDU655355 RNQ655355 RXM655355 SHI655355 SRE655355 TBA655355 TKW655355 TUS655355 UEO655355 UOK655355 UYG655355 VIC655355 VRY655355 WBU655355 WLQ655355 WVM655355 E720891 JA720891 SW720891 ACS720891 AMO720891 AWK720891 BGG720891 BQC720891 BZY720891 CJU720891 CTQ720891 DDM720891 DNI720891 DXE720891 EHA720891 EQW720891 FAS720891 FKO720891 FUK720891 GEG720891 GOC720891 GXY720891 HHU720891 HRQ720891 IBM720891 ILI720891 IVE720891 JFA720891 JOW720891 JYS720891 KIO720891 KSK720891 LCG720891 LMC720891 LVY720891 MFU720891 MPQ720891 MZM720891 NJI720891 NTE720891 ODA720891 OMW720891 OWS720891 PGO720891 PQK720891 QAG720891 QKC720891 QTY720891 RDU720891 RNQ720891 RXM720891 SHI720891 SRE720891 TBA720891 TKW720891 TUS720891 UEO720891 UOK720891 UYG720891 VIC720891 VRY720891 WBU720891 WLQ720891 WVM720891 E786427 JA786427 SW786427 ACS786427 AMO786427 AWK786427 BGG786427 BQC786427 BZY786427 CJU786427 CTQ786427 DDM786427 DNI786427 DXE786427 EHA786427 EQW786427 FAS786427 FKO786427 FUK786427 GEG786427 GOC786427 GXY786427 HHU786427 HRQ786427 IBM786427 ILI786427 IVE786427 JFA786427 JOW786427 JYS786427 KIO786427 KSK786427 LCG786427 LMC786427 LVY786427 MFU786427 MPQ786427 MZM786427 NJI786427 NTE786427 ODA786427 OMW786427 OWS786427 PGO786427 PQK786427 QAG786427 QKC786427 QTY786427 RDU786427 RNQ786427 RXM786427 SHI786427 SRE786427 TBA786427 TKW786427 TUS786427 UEO786427 UOK786427 UYG786427 VIC786427 VRY786427 WBU786427 WLQ786427 WVM786427 E851963 JA851963 SW851963 ACS851963 AMO851963 AWK851963 BGG851963 BQC851963 BZY851963 CJU851963 CTQ851963 DDM851963 DNI851963 DXE851963 EHA851963 EQW851963 FAS851963 FKO851963 FUK851963 GEG851963 GOC851963 GXY851963 HHU851963 HRQ851963 IBM851963 ILI851963 IVE851963 JFA851963 JOW851963 JYS851963 KIO851963 KSK851963 LCG851963 LMC851963 LVY851963 MFU851963 MPQ851963 MZM851963 NJI851963 NTE851963 ODA851963 OMW851963 OWS851963 PGO851963 PQK851963 QAG851963 QKC851963 QTY851963 RDU851963 RNQ851963 RXM851963 SHI851963 SRE851963 TBA851963 TKW851963 TUS851963 UEO851963 UOK851963 UYG851963 VIC851963 VRY851963 WBU851963 WLQ851963 WVM851963 E917499 JA917499 SW917499 ACS917499 AMO917499 AWK917499 BGG917499 BQC917499 BZY917499 CJU917499 CTQ917499 DDM917499 DNI917499 DXE917499 EHA917499 EQW917499 FAS917499 FKO917499 FUK917499 GEG917499 GOC917499 GXY917499 HHU917499 HRQ917499 IBM917499 ILI917499 IVE917499 JFA917499 JOW917499 JYS917499 KIO917499 KSK917499 LCG917499 LMC917499 LVY917499 MFU917499 MPQ917499 MZM917499 NJI917499 NTE917499 ODA917499 OMW917499 OWS917499 PGO917499 PQK917499 QAG917499 QKC917499 QTY917499 RDU917499 RNQ917499 RXM917499 SHI917499 SRE917499 TBA917499 TKW917499 TUS917499 UEO917499 UOK917499 UYG917499 VIC917499 VRY917499 WBU917499 WLQ917499 WVM917499 E983035 JA983035 SW983035 ACS983035 AMO983035 AWK983035 BGG983035 BQC983035 BZY983035 CJU983035 CTQ983035 DDM983035 DNI983035 DXE983035 EHA983035 EQW983035 FAS983035 FKO983035 FUK983035 GEG983035 GOC983035 GXY983035 HHU983035 HRQ983035 IBM983035 ILI983035 IVE983035 JFA983035 JOW983035 JYS983035 KIO983035 KSK983035 LCG983035 LMC983035 LVY983035 MFU983035 MPQ983035 MZM983035 NJI983035 NTE983035 ODA983035 OMW983035 OWS983035 PGO983035 PQK983035 QAG983035 QKC983035 QTY983035 RDU983035 RNQ983035 RXM983035 SHI983035 SRE983035 TBA983035 TKW983035 TUS983035 UEO983035 UOK983035 UYG983035 VIC983035 VRY983035 WBU983035 WLQ983035 WVM983035 WVM1 JA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formula1>l_Security</formula1>
    </dataValidation>
    <dataValidation type="list" allowBlank="1" showInputMessage="1" showErrorMessage="1" sqref="A1">
      <formula1>l_OKErr</formula1>
    </dataValidation>
  </dataValidations>
  <pageMargins left="0.39370078740157483" right="0.39370078740157483" top="0.39370078740157483" bottom="0.39370078740157483" header="0.39370078740157483" footer="0.3937007874015748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theme="9"/>
    <outlinePr summaryBelow="0" summaryRight="0"/>
  </sheetPr>
  <dimension ref="A1:G62"/>
  <sheetViews>
    <sheetView showGridLines="0" topLeftCell="A21" zoomScaleNormal="100" workbookViewId="0">
      <selection activeCell="B57" sqref="B57"/>
    </sheetView>
  </sheetViews>
  <sheetFormatPr defaultColWidth="9.140625" defaultRowHeight="12.75" x14ac:dyDescent="0.2"/>
  <cols>
    <col min="1" max="1" width="4.7109375" style="120" customWidth="1"/>
    <col min="2" max="2" width="9.140625" style="121"/>
    <col min="3" max="3" width="15" style="120" customWidth="1"/>
    <col min="4" max="4" width="2.7109375" style="120" customWidth="1"/>
    <col min="5" max="5" width="9.140625" style="121"/>
    <col min="6" max="16384" width="9.140625" style="120"/>
  </cols>
  <sheetData>
    <row r="1" spans="1:7" x14ac:dyDescent="0.2">
      <c r="A1" s="81" t="s">
        <v>2</v>
      </c>
      <c r="B1" s="96"/>
      <c r="C1" s="61"/>
      <c r="D1" s="61"/>
      <c r="E1" s="96"/>
      <c r="F1" s="61"/>
      <c r="G1" s="61"/>
    </row>
    <row r="3" spans="1:7" ht="15.75" x14ac:dyDescent="0.2">
      <c r="A3" s="101" t="s">
        <v>407</v>
      </c>
    </row>
    <row r="4" spans="1:7" x14ac:dyDescent="0.2">
      <c r="B4" s="121" t="s">
        <v>640</v>
      </c>
    </row>
    <row r="6" spans="1:7" ht="15.75" x14ac:dyDescent="0.2">
      <c r="B6" s="101" t="s">
        <v>445</v>
      </c>
    </row>
    <row r="7" spans="1:7" x14ac:dyDescent="0.2">
      <c r="B7" s="121" t="s">
        <v>641</v>
      </c>
    </row>
    <row r="8" spans="1:7" ht="3.75" customHeight="1" x14ac:dyDescent="0.2"/>
    <row r="9" spans="1:7" ht="15" x14ac:dyDescent="0.2">
      <c r="B9" s="122" t="s">
        <v>518</v>
      </c>
    </row>
    <row r="10" spans="1:7" x14ac:dyDescent="0.2">
      <c r="B10" s="121" t="s">
        <v>511</v>
      </c>
    </row>
    <row r="11" spans="1:7" x14ac:dyDescent="0.2">
      <c r="C11" s="109" t="s">
        <v>27</v>
      </c>
      <c r="E11" s="121" t="s">
        <v>512</v>
      </c>
    </row>
    <row r="12" spans="1:7" x14ac:dyDescent="0.2">
      <c r="C12" s="111" t="s">
        <v>509</v>
      </c>
      <c r="E12" s="121" t="s">
        <v>513</v>
      </c>
    </row>
    <row r="13" spans="1:7" x14ac:dyDescent="0.2">
      <c r="C13" s="183" t="s">
        <v>16</v>
      </c>
      <c r="E13" s="121" t="s">
        <v>514</v>
      </c>
    </row>
    <row r="14" spans="1:7" x14ac:dyDescent="0.2">
      <c r="B14" s="120"/>
      <c r="C14" s="114" t="s">
        <v>17</v>
      </c>
      <c r="E14" s="121" t="s">
        <v>515</v>
      </c>
    </row>
    <row r="15" spans="1:7" x14ac:dyDescent="0.2">
      <c r="C15" s="118" t="s">
        <v>19</v>
      </c>
      <c r="E15" s="121" t="s">
        <v>548</v>
      </c>
    </row>
    <row r="16" spans="1:7" x14ac:dyDescent="0.2">
      <c r="C16" s="103" t="s">
        <v>510</v>
      </c>
      <c r="E16" s="121" t="s">
        <v>530</v>
      </c>
    </row>
    <row r="17" spans="2:5" ht="3.75" customHeight="1" x14ac:dyDescent="0.2">
      <c r="E17" s="120"/>
    </row>
    <row r="18" spans="2:5" x14ac:dyDescent="0.2">
      <c r="B18" s="121" t="s">
        <v>516</v>
      </c>
      <c r="E18" s="120"/>
    </row>
    <row r="19" spans="2:5" x14ac:dyDescent="0.2">
      <c r="C19" s="109" t="s">
        <v>398</v>
      </c>
      <c r="D19" s="181"/>
      <c r="E19" s="182" t="s">
        <v>405</v>
      </c>
    </row>
    <row r="20" spans="2:5" x14ac:dyDescent="0.2">
      <c r="C20" s="111" t="s">
        <v>399</v>
      </c>
      <c r="D20" s="181"/>
      <c r="E20" s="182" t="s">
        <v>386</v>
      </c>
    </row>
    <row r="21" spans="2:5" x14ac:dyDescent="0.2">
      <c r="C21" s="112" t="s">
        <v>400</v>
      </c>
      <c r="D21" s="181"/>
      <c r="E21" s="182" t="s">
        <v>391</v>
      </c>
    </row>
    <row r="22" spans="2:5" x14ac:dyDescent="0.2">
      <c r="C22" s="78" t="s">
        <v>383</v>
      </c>
      <c r="D22" s="181"/>
      <c r="E22" s="182" t="s">
        <v>404</v>
      </c>
    </row>
    <row r="23" spans="2:5" x14ac:dyDescent="0.2">
      <c r="C23" s="113" t="s">
        <v>16</v>
      </c>
      <c r="D23" s="181"/>
      <c r="E23" s="182" t="s">
        <v>392</v>
      </c>
    </row>
    <row r="24" spans="2:5" x14ac:dyDescent="0.2">
      <c r="C24" s="114" t="s">
        <v>385</v>
      </c>
      <c r="D24" s="181"/>
      <c r="E24" s="182" t="s">
        <v>18</v>
      </c>
    </row>
    <row r="25" spans="2:5" x14ac:dyDescent="0.2">
      <c r="C25" s="115" t="s">
        <v>393</v>
      </c>
      <c r="D25" s="181"/>
      <c r="E25" s="182" t="s">
        <v>394</v>
      </c>
    </row>
    <row r="26" spans="2:5" x14ac:dyDescent="0.2">
      <c r="B26" s="120"/>
      <c r="C26" s="18" t="s">
        <v>11</v>
      </c>
      <c r="D26" s="181"/>
      <c r="E26" s="182" t="s">
        <v>395</v>
      </c>
    </row>
    <row r="27" spans="2:5" x14ac:dyDescent="0.2">
      <c r="B27" s="120"/>
      <c r="C27" s="79" t="s">
        <v>396</v>
      </c>
      <c r="D27" s="181"/>
      <c r="E27" s="182" t="s">
        <v>12</v>
      </c>
    </row>
    <row r="28" spans="2:5" x14ac:dyDescent="0.2">
      <c r="C28" s="80" t="s">
        <v>397</v>
      </c>
      <c r="D28" s="181"/>
      <c r="E28" s="182" t="s">
        <v>13</v>
      </c>
    </row>
    <row r="29" spans="2:5" ht="3.75" customHeight="1" x14ac:dyDescent="0.2">
      <c r="E29" s="120"/>
    </row>
    <row r="30" spans="2:5" ht="15" x14ac:dyDescent="0.2">
      <c r="B30" s="122" t="s">
        <v>551</v>
      </c>
      <c r="E30" s="120"/>
    </row>
    <row r="31" spans="2:5" x14ac:dyDescent="0.2">
      <c r="B31" s="121" t="s">
        <v>549</v>
      </c>
      <c r="E31" s="120"/>
    </row>
    <row r="32" spans="2:5" x14ac:dyDescent="0.2">
      <c r="B32" s="121" t="s">
        <v>550</v>
      </c>
      <c r="E32" s="120"/>
    </row>
    <row r="33" spans="2:5" x14ac:dyDescent="0.2">
      <c r="B33" s="121" t="s">
        <v>517</v>
      </c>
      <c r="E33" s="120"/>
    </row>
    <row r="34" spans="2:5" ht="3.75" customHeight="1" x14ac:dyDescent="0.2">
      <c r="E34" s="120"/>
    </row>
    <row r="35" spans="2:5" ht="15" x14ac:dyDescent="0.2">
      <c r="B35" s="122" t="s">
        <v>673</v>
      </c>
      <c r="E35" s="120"/>
    </row>
    <row r="36" spans="2:5" x14ac:dyDescent="0.2">
      <c r="B36" s="121" t="s">
        <v>522</v>
      </c>
      <c r="E36" s="120"/>
    </row>
    <row r="37" spans="2:5" x14ac:dyDescent="0.2">
      <c r="B37" s="121" t="s">
        <v>642</v>
      </c>
    </row>
    <row r="38" spans="2:5" x14ac:dyDescent="0.2">
      <c r="B38" s="121" t="s">
        <v>523</v>
      </c>
    </row>
    <row r="39" spans="2:5" ht="3.75" customHeight="1" x14ac:dyDescent="0.2">
      <c r="B39" s="120"/>
    </row>
    <row r="40" spans="2:5" x14ac:dyDescent="0.2">
      <c r="B40" s="121" t="s">
        <v>519</v>
      </c>
    </row>
    <row r="41" spans="2:5" x14ac:dyDescent="0.2">
      <c r="C41" s="121" t="s">
        <v>750</v>
      </c>
    </row>
    <row r="42" spans="2:5" ht="3.75" customHeight="1" x14ac:dyDescent="0.2"/>
    <row r="43" spans="2:5" x14ac:dyDescent="0.2">
      <c r="B43" s="121" t="s">
        <v>524</v>
      </c>
    </row>
    <row r="44" spans="2:5" x14ac:dyDescent="0.2">
      <c r="C44" s="121" t="s">
        <v>520</v>
      </c>
    </row>
    <row r="45" spans="2:5" x14ac:dyDescent="0.2">
      <c r="C45" s="121" t="s">
        <v>643</v>
      </c>
    </row>
    <row r="46" spans="2:5" x14ac:dyDescent="0.2">
      <c r="C46" s="121" t="s">
        <v>644</v>
      </c>
    </row>
    <row r="47" spans="2:5" x14ac:dyDescent="0.2">
      <c r="C47" s="121" t="s">
        <v>645</v>
      </c>
    </row>
    <row r="48" spans="2:5" x14ac:dyDescent="0.2">
      <c r="C48" s="121" t="s">
        <v>525</v>
      </c>
    </row>
    <row r="49" spans="2:5" ht="3.75" customHeight="1" x14ac:dyDescent="0.2">
      <c r="B49" s="210"/>
      <c r="C49" s="210"/>
      <c r="E49" s="210"/>
    </row>
    <row r="50" spans="2:5" x14ac:dyDescent="0.2">
      <c r="B50" s="121" t="s">
        <v>647</v>
      </c>
    </row>
    <row r="51" spans="2:5" x14ac:dyDescent="0.2">
      <c r="B51" s="210" t="s">
        <v>646</v>
      </c>
      <c r="E51" s="210"/>
    </row>
    <row r="52" spans="2:5" x14ac:dyDescent="0.2">
      <c r="B52" s="210" t="s">
        <v>648</v>
      </c>
      <c r="E52" s="210"/>
    </row>
    <row r="53" spans="2:5" ht="3.75" customHeight="1" x14ac:dyDescent="0.2">
      <c r="C53" s="121"/>
    </row>
    <row r="54" spans="2:5" x14ac:dyDescent="0.2">
      <c r="B54" s="121" t="s">
        <v>531</v>
      </c>
    </row>
    <row r="55" spans="2:5" ht="3.75" customHeight="1" x14ac:dyDescent="0.2"/>
    <row r="56" spans="2:5" x14ac:dyDescent="0.2">
      <c r="B56" s="121" t="s">
        <v>649</v>
      </c>
    </row>
    <row r="57" spans="2:5" s="478" customFormat="1" x14ac:dyDescent="0.2">
      <c r="B57" s="147" t="s">
        <v>762</v>
      </c>
      <c r="E57" s="147"/>
    </row>
    <row r="58" spans="2:5" x14ac:dyDescent="0.2">
      <c r="B58" s="210" t="s">
        <v>675</v>
      </c>
      <c r="E58" s="210"/>
    </row>
    <row r="59" spans="2:5" ht="3.75" customHeight="1" x14ac:dyDescent="0.2">
      <c r="B59" s="345"/>
      <c r="E59" s="210"/>
    </row>
    <row r="60" spans="2:5" ht="15" x14ac:dyDescent="0.2">
      <c r="B60" s="122" t="s">
        <v>674</v>
      </c>
    </row>
    <row r="61" spans="2:5" x14ac:dyDescent="0.2">
      <c r="B61" s="121" t="s">
        <v>672</v>
      </c>
    </row>
    <row r="62" spans="2:5" x14ac:dyDescent="0.2">
      <c r="B62" s="121" t="s">
        <v>671</v>
      </c>
    </row>
  </sheetData>
  <sheetProtection formatCells="0" formatColumns="0" formatRows="0" insertColumns="0" insertRows="0"/>
  <conditionalFormatting sqref="A1">
    <cfRule type="containsText" dxfId="18" priority="2" stopIfTrue="1" operator="containsText" text="Err">
      <formula>NOT(ISERROR(SEARCH("Err",A1)))</formula>
    </cfRule>
  </conditionalFormatting>
  <conditionalFormatting sqref="C28">
    <cfRule type="containsText" dxfId="17" priority="1" stopIfTrue="1" operator="containsText" text="Err">
      <formula>NOT(ISERROR(SEARCH("Err",C28)))</formula>
    </cfRule>
  </conditionalFormatting>
  <dataValidations count="1">
    <dataValidation type="list" allowBlank="1" showInputMessage="1" showErrorMessage="1" sqref="A1">
      <formula1>l_OKErr</formula1>
    </dataValidation>
  </dataValidations>
  <pageMargins left="0.7" right="0.7" top="0.75" bottom="0.75" header="0.3" footer="0.3"/>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tabColor theme="6"/>
    <outlinePr summaryBelow="0" summaryRight="0"/>
  </sheetPr>
  <dimension ref="A1:L99"/>
  <sheetViews>
    <sheetView showGridLines="0" zoomScaleNormal="100" workbookViewId="0">
      <selection activeCell="E88" sqref="E88"/>
    </sheetView>
  </sheetViews>
  <sheetFormatPr defaultColWidth="9.140625" defaultRowHeight="12.75" outlineLevelCol="1" x14ac:dyDescent="0.2"/>
  <cols>
    <col min="1" max="1" width="4.42578125" style="120" customWidth="1"/>
    <col min="2" max="2" width="57.42578125" style="120" bestFit="1" customWidth="1"/>
    <col min="3" max="8" width="14.7109375" style="162" customWidth="1"/>
    <col min="9" max="9" width="9.140625" style="120" customWidth="1" collapsed="1"/>
    <col min="10" max="11" width="6.7109375" style="120" hidden="1" customWidth="1" outlineLevel="1"/>
    <col min="12" max="16384" width="9.140625" style="120"/>
  </cols>
  <sheetData>
    <row r="1" spans="1:11" x14ac:dyDescent="0.2">
      <c r="A1" s="81" t="s">
        <v>2</v>
      </c>
      <c r="B1" s="61"/>
      <c r="C1" s="286"/>
      <c r="D1" s="286"/>
      <c r="E1" s="286"/>
      <c r="F1" s="286"/>
      <c r="G1" s="286"/>
      <c r="H1" s="286"/>
      <c r="I1" s="61"/>
      <c r="J1" s="61"/>
      <c r="K1" s="61"/>
    </row>
    <row r="2" spans="1:11" ht="15" x14ac:dyDescent="0.2">
      <c r="B2" s="176" t="s">
        <v>507</v>
      </c>
      <c r="C2" s="286"/>
      <c r="D2" s="286"/>
      <c r="E2" s="286"/>
      <c r="F2" s="286"/>
      <c r="G2" s="286"/>
      <c r="H2" s="286"/>
      <c r="I2" s="61"/>
      <c r="J2" s="61"/>
      <c r="K2" s="61"/>
    </row>
    <row r="3" spans="1:11" x14ac:dyDescent="0.2">
      <c r="I3" s="178"/>
    </row>
    <row r="4" spans="1:11" x14ac:dyDescent="0.2">
      <c r="E4" s="290"/>
    </row>
    <row r="25" spans="1:11" ht="4.5" customHeight="1" x14ac:dyDescent="0.2"/>
    <row r="26" spans="1:11" ht="15" x14ac:dyDescent="0.2">
      <c r="B26" s="176" t="s">
        <v>741</v>
      </c>
    </row>
    <row r="27" spans="1:11" x14ac:dyDescent="0.2">
      <c r="B27" s="143" t="s">
        <v>478</v>
      </c>
      <c r="C27" s="557" t="s">
        <v>421</v>
      </c>
      <c r="D27" s="557"/>
      <c r="E27" s="302" t="s">
        <v>508</v>
      </c>
    </row>
    <row r="28" spans="1:11" ht="4.5" customHeight="1" x14ac:dyDescent="0.2">
      <c r="B28" s="143"/>
    </row>
    <row r="29" spans="1:11" s="122" customFormat="1" ht="15" x14ac:dyDescent="0.25">
      <c r="A29" s="120"/>
      <c r="B29" s="165" t="s">
        <v>742</v>
      </c>
      <c r="C29" s="179" t="s">
        <v>479</v>
      </c>
      <c r="D29" s="168" t="s">
        <v>480</v>
      </c>
      <c r="E29" s="180" t="s">
        <v>481</v>
      </c>
      <c r="F29" s="166" t="s">
        <v>370</v>
      </c>
      <c r="G29" s="551"/>
      <c r="H29" s="551"/>
      <c r="I29" s="352"/>
      <c r="J29" s="341" t="s">
        <v>502</v>
      </c>
      <c r="K29" s="166" t="s">
        <v>503</v>
      </c>
    </row>
    <row r="30" spans="1:11" x14ac:dyDescent="0.2">
      <c r="A30" s="169"/>
      <c r="B30" s="156" t="s">
        <v>650</v>
      </c>
      <c r="C30" s="212">
        <f>'Background Data'!C18</f>
        <v>0.33333333333333331</v>
      </c>
      <c r="D30" s="490"/>
      <c r="E30" s="303">
        <f>IF(D30="",C30,D30)</f>
        <v>0.33333333333333331</v>
      </c>
      <c r="F30" s="287" t="s">
        <v>547</v>
      </c>
      <c r="G30" s="329"/>
      <c r="H30" s="329"/>
      <c r="I30" s="329"/>
      <c r="J30" s="335"/>
      <c r="K30" s="331"/>
    </row>
    <row r="31" spans="1:11" x14ac:dyDescent="0.2">
      <c r="A31" s="169"/>
      <c r="B31" s="156" t="s">
        <v>651</v>
      </c>
      <c r="C31" s="144">
        <v>9</v>
      </c>
      <c r="D31" s="491"/>
      <c r="E31" s="307">
        <f>IF(D31="",C31,D31)</f>
        <v>9</v>
      </c>
      <c r="F31" s="288" t="s">
        <v>53</v>
      </c>
      <c r="G31" s="329"/>
      <c r="H31" s="329"/>
      <c r="I31" s="266"/>
      <c r="J31" s="336"/>
      <c r="K31" s="332"/>
    </row>
    <row r="32" spans="1:11" x14ac:dyDescent="0.2">
      <c r="A32" s="169"/>
      <c r="B32" s="156" t="s">
        <v>652</v>
      </c>
      <c r="C32" s="146">
        <v>0.4</v>
      </c>
      <c r="D32" s="492"/>
      <c r="E32" s="304">
        <f>IF(D32="",C32,D32)</f>
        <v>0.4</v>
      </c>
      <c r="F32" s="287" t="s">
        <v>547</v>
      </c>
      <c r="G32" s="330"/>
      <c r="H32" s="330"/>
      <c r="I32" s="330"/>
      <c r="J32" s="337"/>
      <c r="K32" s="332"/>
    </row>
    <row r="33" spans="1:12" x14ac:dyDescent="0.2">
      <c r="A33" s="169"/>
      <c r="B33" s="156" t="s">
        <v>558</v>
      </c>
      <c r="C33" s="146">
        <v>0.6</v>
      </c>
      <c r="D33" s="493"/>
      <c r="E33" s="304">
        <f>IF(D33="",C33,D33)</f>
        <v>0.6</v>
      </c>
      <c r="F33" s="287" t="s">
        <v>547</v>
      </c>
      <c r="G33" s="552"/>
      <c r="H33" s="552"/>
      <c r="I33" s="547"/>
      <c r="J33" s="336"/>
      <c r="K33" s="332"/>
    </row>
    <row r="34" spans="1:12" x14ac:dyDescent="0.2">
      <c r="A34" s="169"/>
      <c r="B34" s="156" t="s">
        <v>559</v>
      </c>
      <c r="C34" s="145" t="s">
        <v>495</v>
      </c>
      <c r="D34" s="494"/>
      <c r="E34" s="304">
        <f>1-E33</f>
        <v>0.4</v>
      </c>
      <c r="F34" s="287" t="s">
        <v>547</v>
      </c>
      <c r="G34" s="552"/>
      <c r="H34" s="552"/>
      <c r="I34" s="547"/>
      <c r="J34" s="336"/>
      <c r="K34" s="332"/>
    </row>
    <row r="35" spans="1:12" x14ac:dyDescent="0.2">
      <c r="A35" s="169"/>
      <c r="B35" s="211" t="s">
        <v>669</v>
      </c>
      <c r="C35" s="146">
        <v>0</v>
      </c>
      <c r="D35" s="492"/>
      <c r="E35" s="304">
        <f>IF(D35="",D35,D35)</f>
        <v>0</v>
      </c>
      <c r="F35" s="287" t="s">
        <v>547</v>
      </c>
      <c r="G35" s="552"/>
      <c r="H35" s="552"/>
      <c r="I35" s="182"/>
      <c r="J35" s="337"/>
      <c r="K35" s="332"/>
    </row>
    <row r="36" spans="1:12" ht="4.5" customHeight="1" x14ac:dyDescent="0.2">
      <c r="D36" s="495"/>
      <c r="G36" s="266"/>
      <c r="H36" s="266"/>
      <c r="I36" s="266"/>
      <c r="J36" s="266"/>
    </row>
    <row r="37" spans="1:12" s="122" customFormat="1" ht="15" x14ac:dyDescent="0.25">
      <c r="A37" s="120"/>
      <c r="B37" s="165" t="s">
        <v>743</v>
      </c>
      <c r="C37" s="179" t="s">
        <v>479</v>
      </c>
      <c r="D37" s="496" t="s">
        <v>480</v>
      </c>
      <c r="E37" s="180" t="s">
        <v>481</v>
      </c>
      <c r="F37" s="166" t="s">
        <v>370</v>
      </c>
      <c r="G37" s="551"/>
      <c r="H37" s="551"/>
      <c r="I37" s="352"/>
      <c r="J37" s="352" t="s">
        <v>502</v>
      </c>
      <c r="K37" s="321" t="s">
        <v>503</v>
      </c>
      <c r="L37" s="176"/>
    </row>
    <row r="38" spans="1:12" x14ac:dyDescent="0.2">
      <c r="B38" s="143" t="s">
        <v>655</v>
      </c>
      <c r="C38" s="175">
        <v>12</v>
      </c>
      <c r="D38" s="491"/>
      <c r="E38" s="307">
        <f t="shared" ref="E38:E43" si="0">IF(D38="",C38,D38)</f>
        <v>12</v>
      </c>
      <c r="F38" s="288" t="s">
        <v>97</v>
      </c>
      <c r="G38" s="343">
        <f>Calculations!E101</f>
        <v>0</v>
      </c>
      <c r="H38" s="343"/>
      <c r="I38" s="266"/>
      <c r="J38" s="353">
        <v>1</v>
      </c>
      <c r="K38" s="331">
        <v>60</v>
      </c>
    </row>
    <row r="39" spans="1:12" x14ac:dyDescent="0.2">
      <c r="B39" s="143" t="s">
        <v>656</v>
      </c>
      <c r="C39" s="144">
        <v>52</v>
      </c>
      <c r="D39" s="491"/>
      <c r="E39" s="307">
        <f t="shared" si="0"/>
        <v>52</v>
      </c>
      <c r="F39" s="288" t="s">
        <v>97</v>
      </c>
      <c r="G39" s="343">
        <f>Calculations!E102</f>
        <v>0</v>
      </c>
      <c r="H39" s="343"/>
      <c r="I39" s="266"/>
      <c r="J39" s="337">
        <v>10</v>
      </c>
      <c r="K39" s="332">
        <v>90</v>
      </c>
    </row>
    <row r="40" spans="1:12" x14ac:dyDescent="0.2">
      <c r="B40" s="156" t="s">
        <v>657</v>
      </c>
      <c r="C40" s="144">
        <f>'Background Data'!C19</f>
        <v>225</v>
      </c>
      <c r="D40" s="497"/>
      <c r="E40" s="307">
        <f t="shared" si="0"/>
        <v>225</v>
      </c>
      <c r="F40" s="288" t="s">
        <v>452</v>
      </c>
      <c r="G40" s="182"/>
      <c r="H40" s="182"/>
      <c r="I40" s="266"/>
      <c r="J40" s="337"/>
      <c r="K40" s="332"/>
    </row>
    <row r="41" spans="1:12" x14ac:dyDescent="0.2">
      <c r="B41" s="143" t="s">
        <v>453</v>
      </c>
      <c r="C41" s="144">
        <f>'Background Data'!C20</f>
        <v>2.2999999999999998</v>
      </c>
      <c r="D41" s="491"/>
      <c r="E41" s="306">
        <f t="shared" si="0"/>
        <v>2.2999999999999998</v>
      </c>
      <c r="F41" s="288" t="s">
        <v>504</v>
      </c>
      <c r="G41" s="182"/>
      <c r="H41" s="182"/>
      <c r="I41" s="266"/>
      <c r="J41" s="337"/>
      <c r="K41" s="332"/>
    </row>
    <row r="42" spans="1:12" x14ac:dyDescent="0.2">
      <c r="B42" s="143" t="s">
        <v>586</v>
      </c>
      <c r="C42" s="347">
        <f>'Background Data'!C21</f>
        <v>7.4999999999999997E-2</v>
      </c>
      <c r="D42" s="492"/>
      <c r="E42" s="475">
        <f t="shared" si="0"/>
        <v>7.4999999999999997E-2</v>
      </c>
      <c r="F42" s="163"/>
      <c r="G42" s="330"/>
      <c r="H42" s="330"/>
      <c r="I42" s="266"/>
      <c r="J42" s="339">
        <v>0</v>
      </c>
      <c r="K42" s="333">
        <v>0.1</v>
      </c>
    </row>
    <row r="43" spans="1:12" x14ac:dyDescent="0.2">
      <c r="B43" s="156" t="s">
        <v>662</v>
      </c>
      <c r="C43" s="477">
        <v>0</v>
      </c>
      <c r="D43" s="498"/>
      <c r="E43" s="306">
        <f t="shared" si="0"/>
        <v>0</v>
      </c>
      <c r="F43" s="350" t="s">
        <v>748</v>
      </c>
      <c r="G43" s="348"/>
      <c r="H43" s="329"/>
      <c r="I43" s="266"/>
      <c r="J43" s="337"/>
      <c r="K43" s="332"/>
    </row>
    <row r="44" spans="1:12" x14ac:dyDescent="0.2">
      <c r="B44" s="277" t="s">
        <v>664</v>
      </c>
      <c r="C44" s="349" t="s">
        <v>663</v>
      </c>
      <c r="D44" s="494"/>
      <c r="E44" s="319">
        <f>E40*E41*(1-E42)*(1-E30)</f>
        <v>319.12500000000006</v>
      </c>
      <c r="F44" s="350" t="s">
        <v>665</v>
      </c>
      <c r="G44" s="330"/>
      <c r="H44" s="330"/>
      <c r="I44" s="330"/>
      <c r="J44" s="338"/>
      <c r="K44" s="66"/>
    </row>
    <row r="45" spans="1:12" x14ac:dyDescent="0.2">
      <c r="B45" s="177" t="s">
        <v>666</v>
      </c>
      <c r="C45" s="144">
        <f>'Background Data'!C22</f>
        <v>122</v>
      </c>
      <c r="D45" s="497"/>
      <c r="E45" s="307">
        <f>IF(D45="",C45,D45)</f>
        <v>122</v>
      </c>
      <c r="F45" s="350" t="s">
        <v>665</v>
      </c>
      <c r="H45" s="329"/>
      <c r="I45" s="266"/>
      <c r="J45" s="337"/>
      <c r="K45" s="332"/>
    </row>
    <row r="46" spans="1:12" x14ac:dyDescent="0.2">
      <c r="B46" s="156" t="s">
        <v>588</v>
      </c>
      <c r="C46" s="144">
        <f>'Background Data'!C23</f>
        <v>120</v>
      </c>
      <c r="D46" s="491"/>
      <c r="E46" s="307">
        <f>IF(D46="",C46,D46)</f>
        <v>120</v>
      </c>
      <c r="F46" s="288" t="s">
        <v>450</v>
      </c>
      <c r="G46" s="348"/>
      <c r="H46" s="329"/>
      <c r="I46" s="266"/>
      <c r="J46" s="337"/>
      <c r="K46" s="332"/>
    </row>
    <row r="47" spans="1:12" x14ac:dyDescent="0.2">
      <c r="B47" s="143" t="s">
        <v>449</v>
      </c>
      <c r="C47" s="145" t="s">
        <v>496</v>
      </c>
      <c r="D47" s="494"/>
      <c r="E47" s="305">
        <f ca="1">IFERROR(VLOOKUP(n_Country,a_Countries,3,FALSE),"UK")</f>
        <v>1.1691666666666667</v>
      </c>
      <c r="F47" s="288" t="s">
        <v>491</v>
      </c>
      <c r="G47" s="330"/>
      <c r="H47" s="330"/>
      <c r="I47" s="266"/>
      <c r="J47" s="338"/>
      <c r="K47" s="66"/>
    </row>
    <row r="48" spans="1:12" x14ac:dyDescent="0.2">
      <c r="B48" s="223" t="s">
        <v>553</v>
      </c>
      <c r="C48" s="145"/>
      <c r="D48" s="499"/>
      <c r="E48" s="328">
        <f>D48</f>
        <v>0</v>
      </c>
      <c r="F48" s="288" t="s">
        <v>574</v>
      </c>
      <c r="H48" s="329"/>
      <c r="I48" s="266"/>
      <c r="J48" s="337"/>
      <c r="K48" s="332"/>
    </row>
    <row r="49" spans="1:12" ht="4.5" customHeight="1" x14ac:dyDescent="0.2">
      <c r="D49" s="495"/>
      <c r="G49" s="266"/>
      <c r="H49" s="266"/>
      <c r="I49" s="266"/>
      <c r="J49" s="266"/>
    </row>
    <row r="50" spans="1:12" s="122" customFormat="1" ht="15" x14ac:dyDescent="0.25">
      <c r="A50" s="120"/>
      <c r="B50" s="165" t="s">
        <v>744</v>
      </c>
      <c r="C50" s="179" t="s">
        <v>479</v>
      </c>
      <c r="D50" s="496" t="s">
        <v>480</v>
      </c>
      <c r="E50" s="180" t="s">
        <v>481</v>
      </c>
      <c r="F50" s="166" t="s">
        <v>370</v>
      </c>
      <c r="G50" s="551"/>
      <c r="H50" s="551"/>
      <c r="I50" s="352"/>
      <c r="J50" s="341" t="s">
        <v>502</v>
      </c>
      <c r="K50" s="166" t="s">
        <v>503</v>
      </c>
    </row>
    <row r="51" spans="1:12" ht="12.75" customHeight="1" x14ac:dyDescent="0.2">
      <c r="A51" s="169"/>
      <c r="B51" s="211" t="s">
        <v>589</v>
      </c>
      <c r="C51" s="144">
        <v>0</v>
      </c>
      <c r="D51" s="499"/>
      <c r="E51" s="328">
        <f>IF(D51="",C51,D51)</f>
        <v>0</v>
      </c>
      <c r="F51" s="288" t="s">
        <v>482</v>
      </c>
      <c r="G51" s="558"/>
      <c r="H51" s="558"/>
      <c r="I51" s="351"/>
      <c r="J51" s="337"/>
      <c r="K51" s="332"/>
    </row>
    <row r="52" spans="1:12" x14ac:dyDescent="0.2">
      <c r="A52" s="169"/>
      <c r="B52" s="156" t="s">
        <v>587</v>
      </c>
      <c r="C52" s="144">
        <v>0</v>
      </c>
      <c r="D52" s="472"/>
      <c r="E52" s="328">
        <f>IF(D52="",C52,D52)</f>
        <v>0</v>
      </c>
      <c r="F52" s="288" t="s">
        <v>451</v>
      </c>
      <c r="G52" s="558"/>
      <c r="H52" s="558"/>
      <c r="I52" s="351"/>
      <c r="J52" s="337"/>
      <c r="K52" s="332"/>
    </row>
    <row r="53" spans="1:12" ht="4.5" customHeight="1" x14ac:dyDescent="0.2">
      <c r="D53" s="495"/>
      <c r="G53" s="266"/>
      <c r="H53" s="266"/>
      <c r="I53" s="266"/>
      <c r="J53" s="266"/>
    </row>
    <row r="54" spans="1:12" s="122" customFormat="1" ht="15" x14ac:dyDescent="0.25">
      <c r="A54" s="120"/>
      <c r="B54" s="165" t="s">
        <v>745</v>
      </c>
      <c r="C54" s="179" t="s">
        <v>479</v>
      </c>
      <c r="D54" s="496" t="s">
        <v>480</v>
      </c>
      <c r="E54" s="180" t="s">
        <v>481</v>
      </c>
      <c r="F54" s="166" t="s">
        <v>370</v>
      </c>
      <c r="G54" s="551"/>
      <c r="H54" s="551"/>
      <c r="I54" s="352"/>
      <c r="J54" s="341" t="s">
        <v>502</v>
      </c>
      <c r="K54" s="166" t="s">
        <v>503</v>
      </c>
    </row>
    <row r="55" spans="1:12" x14ac:dyDescent="0.2">
      <c r="A55" s="169"/>
      <c r="B55" s="143" t="s">
        <v>590</v>
      </c>
      <c r="C55" s="144">
        <v>40</v>
      </c>
      <c r="D55" s="491"/>
      <c r="E55" s="307">
        <f>IF(D55="",C55,D55)</f>
        <v>40</v>
      </c>
      <c r="F55" s="288" t="s">
        <v>448</v>
      </c>
      <c r="G55" s="344"/>
      <c r="H55" s="344"/>
      <c r="I55" s="266"/>
      <c r="J55" s="337"/>
      <c r="K55" s="332"/>
    </row>
    <row r="56" spans="1:12" x14ac:dyDescent="0.2">
      <c r="A56" s="169"/>
      <c r="B56" s="156" t="s">
        <v>558</v>
      </c>
      <c r="C56" s="146">
        <v>0.2</v>
      </c>
      <c r="D56" s="493"/>
      <c r="E56" s="304">
        <f>IF(D56="",C56,D56)</f>
        <v>0.2</v>
      </c>
      <c r="F56" s="287" t="s">
        <v>547</v>
      </c>
      <c r="G56" s="552"/>
      <c r="H56" s="552"/>
      <c r="I56" s="547"/>
      <c r="J56" s="336"/>
      <c r="K56" s="332"/>
    </row>
    <row r="57" spans="1:12" x14ac:dyDescent="0.2">
      <c r="A57" s="169"/>
      <c r="B57" s="156" t="s">
        <v>559</v>
      </c>
      <c r="C57" s="145" t="s">
        <v>495</v>
      </c>
      <c r="D57" s="494"/>
      <c r="E57" s="304">
        <f>1-E56</f>
        <v>0.8</v>
      </c>
      <c r="F57" s="287" t="s">
        <v>547</v>
      </c>
      <c r="G57" s="552"/>
      <c r="H57" s="552"/>
      <c r="I57" s="547"/>
      <c r="J57" s="336"/>
      <c r="K57" s="332"/>
    </row>
    <row r="58" spans="1:12" ht="12.75" customHeight="1" x14ac:dyDescent="0.2">
      <c r="A58" s="169"/>
      <c r="B58" s="177" t="s">
        <v>670</v>
      </c>
      <c r="C58" s="146">
        <v>0</v>
      </c>
      <c r="D58" s="492"/>
      <c r="E58" s="304">
        <f>IF(D58="",C58,D58)</f>
        <v>0</v>
      </c>
      <c r="F58" s="287" t="s">
        <v>547</v>
      </c>
      <c r="G58" s="342"/>
      <c r="H58" s="342"/>
      <c r="I58" s="266"/>
      <c r="J58" s="337"/>
      <c r="K58" s="332"/>
    </row>
    <row r="59" spans="1:12" ht="4.5" customHeight="1" x14ac:dyDescent="0.2">
      <c r="D59" s="495"/>
      <c r="G59" s="266"/>
      <c r="H59" s="266"/>
      <c r="I59" s="266"/>
      <c r="J59" s="266"/>
    </row>
    <row r="60" spans="1:12" ht="12.75" customHeight="1" x14ac:dyDescent="0.25">
      <c r="A60" s="169"/>
      <c r="B60" s="165" t="s">
        <v>746</v>
      </c>
      <c r="C60" s="179" t="s">
        <v>479</v>
      </c>
      <c r="D60" s="496" t="s">
        <v>480</v>
      </c>
      <c r="E60" s="180" t="s">
        <v>481</v>
      </c>
      <c r="F60" s="166" t="s">
        <v>370</v>
      </c>
      <c r="G60" s="551"/>
      <c r="H60" s="551"/>
      <c r="I60" s="352"/>
      <c r="J60" s="341" t="s">
        <v>502</v>
      </c>
      <c r="K60" s="166" t="s">
        <v>503</v>
      </c>
    </row>
    <row r="61" spans="1:12" ht="12.75" customHeight="1" x14ac:dyDescent="0.2">
      <c r="A61" s="169"/>
      <c r="B61" s="156" t="s">
        <v>569</v>
      </c>
      <c r="C61" s="146">
        <v>1</v>
      </c>
      <c r="D61" s="492"/>
      <c r="E61" s="304">
        <f>IF(D61="",C61,D61)</f>
        <v>1</v>
      </c>
      <c r="F61" s="287" t="s">
        <v>547</v>
      </c>
      <c r="G61" s="561"/>
      <c r="H61" s="561"/>
      <c r="I61" s="561"/>
      <c r="J61" s="340">
        <v>0.5</v>
      </c>
      <c r="K61" s="334">
        <v>1.5</v>
      </c>
      <c r="L61" s="209"/>
    </row>
    <row r="62" spans="1:12" ht="12.75" customHeight="1" x14ac:dyDescent="0.2">
      <c r="A62" s="169"/>
      <c r="B62" s="156" t="s">
        <v>570</v>
      </c>
      <c r="C62" s="146">
        <v>1</v>
      </c>
      <c r="D62" s="492"/>
      <c r="E62" s="304">
        <f t="shared" ref="E62:E65" si="1">IF(D62="",C62,D62)</f>
        <v>1</v>
      </c>
      <c r="F62" s="287" t="s">
        <v>547</v>
      </c>
      <c r="G62" s="561"/>
      <c r="H62" s="561"/>
      <c r="I62" s="561"/>
      <c r="J62" s="340">
        <v>0.5</v>
      </c>
      <c r="K62" s="334">
        <v>1.5</v>
      </c>
      <c r="L62" s="209"/>
    </row>
    <row r="63" spans="1:12" x14ac:dyDescent="0.2">
      <c r="A63" s="169"/>
      <c r="B63" s="156" t="s">
        <v>571</v>
      </c>
      <c r="C63" s="146">
        <v>1</v>
      </c>
      <c r="D63" s="492"/>
      <c r="E63" s="304">
        <f t="shared" si="1"/>
        <v>1</v>
      </c>
      <c r="F63" s="287" t="s">
        <v>547</v>
      </c>
      <c r="G63" s="561"/>
      <c r="H63" s="561"/>
      <c r="I63" s="561"/>
      <c r="J63" s="340">
        <v>0.5</v>
      </c>
      <c r="K63" s="334">
        <v>1.5</v>
      </c>
      <c r="L63" s="209"/>
    </row>
    <row r="64" spans="1:12" x14ac:dyDescent="0.2">
      <c r="A64" s="169"/>
      <c r="B64" s="156" t="s">
        <v>572</v>
      </c>
      <c r="C64" s="146">
        <v>1</v>
      </c>
      <c r="D64" s="492"/>
      <c r="E64" s="304">
        <f t="shared" si="1"/>
        <v>1</v>
      </c>
      <c r="F64" s="287" t="s">
        <v>547</v>
      </c>
      <c r="G64" s="561"/>
      <c r="H64" s="561"/>
      <c r="I64" s="561"/>
      <c r="J64" s="340">
        <v>0.5</v>
      </c>
      <c r="K64" s="334">
        <v>1.5</v>
      </c>
      <c r="L64" s="209"/>
    </row>
    <row r="65" spans="1:12" x14ac:dyDescent="0.2">
      <c r="A65" s="169"/>
      <c r="B65" s="156" t="s">
        <v>573</v>
      </c>
      <c r="C65" s="146">
        <v>1</v>
      </c>
      <c r="D65" s="492"/>
      <c r="E65" s="304">
        <f t="shared" si="1"/>
        <v>1</v>
      </c>
      <c r="F65" s="287" t="s">
        <v>547</v>
      </c>
      <c r="G65" s="561"/>
      <c r="H65" s="561"/>
      <c r="I65" s="561"/>
      <c r="J65" s="340">
        <v>0.5</v>
      </c>
      <c r="K65" s="334">
        <v>1.5</v>
      </c>
      <c r="L65" s="209"/>
    </row>
    <row r="66" spans="1:12" ht="4.5" customHeight="1" x14ac:dyDescent="0.2">
      <c r="G66" s="266"/>
      <c r="H66" s="266"/>
      <c r="I66" s="266"/>
      <c r="J66" s="266"/>
    </row>
    <row r="67" spans="1:12" s="283" customFormat="1" ht="18" x14ac:dyDescent="0.2">
      <c r="A67" s="214"/>
      <c r="B67" s="280" t="s">
        <v>747</v>
      </c>
      <c r="C67" s="282"/>
      <c r="D67" s="282"/>
      <c r="E67" s="281" t="s">
        <v>565</v>
      </c>
      <c r="F67" s="282" t="s">
        <v>370</v>
      </c>
      <c r="G67" s="282" t="s">
        <v>585</v>
      </c>
      <c r="H67" s="282" t="s">
        <v>370</v>
      </c>
      <c r="I67" s="285"/>
      <c r="J67" s="285"/>
      <c r="K67" s="285"/>
    </row>
    <row r="68" spans="1:12" s="169" customFormat="1" ht="12.75" customHeight="1" x14ac:dyDescent="0.2">
      <c r="B68" s="559" t="str">
        <f>IF(n_Country="Select a Country","MAKE A SELECTION IN ROW 27","Abstraction, treatment and pumping of potable water to households")</f>
        <v>Abstraction, treatment and pumping of potable water to households</v>
      </c>
      <c r="C68" s="559"/>
      <c r="D68" s="560"/>
      <c r="E68" s="372">
        <f ca="1">(Calculations!C73+Calculations!C74+Calculations!C75) * VLOOKUP(n_EnergyUnits,a_ReptUnitsEnergy,2,FALSE)</f>
        <v>0</v>
      </c>
      <c r="F68" s="289" t="s">
        <v>444</v>
      </c>
      <c r="G68" s="371">
        <f ca="1">'Results Summary'!F9 * VLOOKUP(n_CarbonUnits,a_ReptUnitsCarbon,2,FALSE)</f>
        <v>0</v>
      </c>
      <c r="H68" s="289" t="s">
        <v>544</v>
      </c>
      <c r="I68" s="207"/>
      <c r="L68" s="192"/>
    </row>
    <row r="69" spans="1:12" ht="3.75" customHeight="1" x14ac:dyDescent="0.2">
      <c r="B69" s="208"/>
      <c r="C69" s="297"/>
      <c r="D69" s="297"/>
      <c r="E69" s="370"/>
      <c r="F69" s="290"/>
      <c r="G69" s="370"/>
      <c r="H69" s="290"/>
    </row>
    <row r="70" spans="1:12" s="214" customFormat="1" ht="12.75" customHeight="1" x14ac:dyDescent="0.2">
      <c r="B70" s="553" t="str">
        <f>IF(n_Country="Select a Country","MAKE A SELECTION IN ROW 27",Calculations!B93)</f>
        <v>Abstraction, treatment and pumping of potable water lost through leakage</v>
      </c>
      <c r="C70" s="553"/>
      <c r="D70" s="554"/>
      <c r="E70" s="372">
        <f ca="1">Calculations!C93 * VLOOKUP(n_EnergyUnits,a_ReptUnitsEnergy,2,FALSE)</f>
        <v>0</v>
      </c>
      <c r="F70" s="291" t="str">
        <f>F$68</f>
        <v>GWh/yr</v>
      </c>
      <c r="G70" s="372">
        <f ca="1">'Results Summary'!F10 * VLOOKUP(n_CarbonUnits,a_ReptUnitsCarbon,2,FALSE)</f>
        <v>0</v>
      </c>
      <c r="H70" s="291" t="str">
        <f>H$68</f>
        <v>t CO2e/yr</v>
      </c>
    </row>
    <row r="71" spans="1:12" s="214" customFormat="1" ht="3.75" customHeight="1" x14ac:dyDescent="0.2">
      <c r="B71" s="273"/>
      <c r="C71" s="298"/>
      <c r="D71" s="300"/>
      <c r="E71" s="378"/>
      <c r="F71" s="292"/>
      <c r="G71" s="373"/>
      <c r="H71" s="292"/>
    </row>
    <row r="72" spans="1:12" s="215" customFormat="1" x14ac:dyDescent="0.2">
      <c r="B72" s="548" t="str">
        <f>IF(n_Country="Select a Country","MAKE A SELECTION IN ROW 27","Treatment and pumping of potable water, including water lost through leakage")</f>
        <v>Treatment and pumping of potable water, including water lost through leakage</v>
      </c>
      <c r="C72" s="548"/>
      <c r="D72" s="549"/>
      <c r="E72" s="374">
        <f ca="1">(E68+E70)</f>
        <v>0</v>
      </c>
      <c r="F72" s="293" t="str">
        <f>F$68</f>
        <v>GWh/yr</v>
      </c>
      <c r="G72" s="374">
        <f ca="1">(G68+G70)</f>
        <v>0</v>
      </c>
      <c r="H72" s="293" t="str">
        <f>H$68</f>
        <v>t CO2e/yr</v>
      </c>
    </row>
    <row r="73" spans="1:12" s="214" customFormat="1" ht="12.75" customHeight="1" x14ac:dyDescent="0.2">
      <c r="B73" s="273"/>
      <c r="C73" s="298"/>
      <c r="D73" s="300"/>
      <c r="E73" s="378"/>
      <c r="F73" s="292"/>
      <c r="G73" s="373"/>
      <c r="H73" s="292"/>
    </row>
    <row r="74" spans="1:12" s="215" customFormat="1" x14ac:dyDescent="0.2">
      <c r="B74" s="548" t="s">
        <v>624</v>
      </c>
      <c r="C74" s="548"/>
      <c r="D74" s="549"/>
      <c r="E74" s="374">
        <f ca="1">Calculations!C106 * VLOOKUP(n_EnergyUnits,a_ReptUnitsEnergy,2,FALSE)</f>
        <v>0</v>
      </c>
      <c r="F74" s="293" t="str">
        <f>F$68</f>
        <v>GWh/yr</v>
      </c>
      <c r="G74" s="374">
        <f ca="1">'Results Summary'!F8 * VLOOKUP(n_CarbonUnits,a_ReptUnitsCarbon,2,FALSE)</f>
        <v>0</v>
      </c>
      <c r="H74" s="293" t="str">
        <f>H$68</f>
        <v>t CO2e/yr</v>
      </c>
      <c r="I74" s="548"/>
      <c r="J74" s="548"/>
      <c r="K74" s="550"/>
    </row>
    <row r="75" spans="1:12" s="214" customFormat="1" ht="12.75" customHeight="1" x14ac:dyDescent="0.2">
      <c r="B75" s="273"/>
      <c r="C75" s="298"/>
      <c r="D75" s="300"/>
      <c r="E75" s="378"/>
      <c r="F75" s="292"/>
      <c r="G75" s="373"/>
      <c r="H75" s="292"/>
    </row>
    <row r="76" spans="1:12" s="215" customFormat="1" x14ac:dyDescent="0.2">
      <c r="B76" s="548" t="str">
        <f>IF(n_Country="Select a Country","MAKE A SELECTION IN ROW 27",Calculations!B76)</f>
        <v>Pumping of rainwater received by combined sewers</v>
      </c>
      <c r="C76" s="548"/>
      <c r="D76" s="549"/>
      <c r="E76" s="374">
        <f ca="1">Calculations!C76 * VLOOKUP(n_EnergyUnits,a_ReptUnitsEnergy,2,FALSE)</f>
        <v>0</v>
      </c>
      <c r="F76" s="293" t="str">
        <f>F$68</f>
        <v>GWh/yr</v>
      </c>
      <c r="G76" s="374">
        <f ca="1">'Results Summary'!F11 * VLOOKUP(n_CarbonUnits,a_ReptUnitsCarbon,2,FALSE)</f>
        <v>0</v>
      </c>
      <c r="H76" s="293" t="str">
        <f>H$68</f>
        <v>t CO2e/yr</v>
      </c>
    </row>
    <row r="77" spans="1:12" s="214" customFormat="1" ht="12.75" customHeight="1" x14ac:dyDescent="0.2">
      <c r="B77" s="553"/>
      <c r="C77" s="553"/>
      <c r="D77" s="554"/>
      <c r="E77" s="373"/>
      <c r="F77" s="292"/>
      <c r="G77" s="373"/>
      <c r="H77" s="292"/>
    </row>
    <row r="78" spans="1:12" s="214" customFormat="1" x14ac:dyDescent="0.2">
      <c r="B78" s="553" t="str">
        <f>IF(n_Country="Select a Country","MAKE A SELECTION IN ROW 27",Calculations!B77)</f>
        <v>Pumping of domestic wastewater</v>
      </c>
      <c r="C78" s="553"/>
      <c r="D78" s="554"/>
      <c r="E78" s="372">
        <f>IF((Calculations!C116*E56)=0,0,(Calculations!C116*E56)*VLOOKUP(n_EnergyUnits,a_ReptUnitsEnergy,2,FALSE))</f>
        <v>0</v>
      </c>
      <c r="F78" s="291" t="str">
        <f>F$68</f>
        <v>GWh/yr</v>
      </c>
      <c r="G78" s="372">
        <f ca="1">'Results Summary'!F12  * VLOOKUP(n_CarbonUnits,a_ReptUnitsCarbon,2,FALSE)</f>
        <v>0</v>
      </c>
      <c r="H78" s="291" t="str">
        <f>H$68</f>
        <v>t CO2e/yr</v>
      </c>
    </row>
    <row r="79" spans="1:12" s="214" customFormat="1" ht="3.75" customHeight="1" x14ac:dyDescent="0.2">
      <c r="C79" s="294"/>
      <c r="D79" s="294"/>
      <c r="E79" s="379"/>
      <c r="F79" s="292"/>
      <c r="G79" s="373"/>
      <c r="H79" s="292"/>
    </row>
    <row r="80" spans="1:12" s="214" customFormat="1" x14ac:dyDescent="0.2">
      <c r="B80" s="553" t="str">
        <f>Calculations!B116</f>
        <v xml:space="preserve">COD removal from domestic wastewater to meet discharge consent </v>
      </c>
      <c r="C80" s="553"/>
      <c r="D80" s="556"/>
      <c r="E80" s="372">
        <f ca="1">IF((Calculations!C116*E57)*VLOOKUP(n_EnergyUnits,a_ReptUnitsEnergy,2,FALSE)&lt;0,0,(Calculations!C116*E57)*VLOOKUP(n_EnergyUnits,a_ReptUnitsEnergy,2,FALSE))</f>
        <v>0</v>
      </c>
      <c r="F80" s="291" t="str">
        <f>F$68</f>
        <v>GWh/yr</v>
      </c>
      <c r="G80" s="372">
        <f ca="1">IF('Results Summary'!F13  * VLOOKUP(n_CarbonUnits,a_ReptUnitsCarbon,2,FALSE)&lt;0, 0, 'Results Summary'!F13  * VLOOKUP(n_CarbonUnits,a_ReptUnitsCarbon,2,FALSE))</f>
        <v>0</v>
      </c>
      <c r="H80" s="291" t="str">
        <f>H$68</f>
        <v>t CO2e/yr</v>
      </c>
    </row>
    <row r="81" spans="2:9" s="214" customFormat="1" ht="3.75" customHeight="1" x14ac:dyDescent="0.2">
      <c r="B81" s="273"/>
      <c r="C81" s="298"/>
      <c r="D81" s="300"/>
      <c r="E81" s="379"/>
      <c r="F81" s="292"/>
      <c r="G81" s="373"/>
      <c r="H81" s="292"/>
    </row>
    <row r="82" spans="2:9" s="214" customFormat="1" x14ac:dyDescent="0.2">
      <c r="B82" s="553" t="str">
        <f>IF(n_Country="Select a Country","MAKE A SELECTION IN ROW 27","Pumping of industrial wastewater")</f>
        <v>Pumping of industrial wastewater</v>
      </c>
      <c r="C82" s="553"/>
      <c r="D82" s="554"/>
      <c r="E82" s="463">
        <f>IF(E51=0,0,((E84/E57)*E56))</f>
        <v>0</v>
      </c>
      <c r="F82" s="291" t="str">
        <f>F$68</f>
        <v>GWh/yr</v>
      </c>
      <c r="G82" s="463">
        <f ca="1">'Results Summary'!F14  * VLOOKUP(n_CarbonUnits,a_ReptUnitsCarbon,2,FALSE)</f>
        <v>0</v>
      </c>
      <c r="H82" s="291" t="str">
        <f>H$68</f>
        <v>t CO2e/yr</v>
      </c>
    </row>
    <row r="83" spans="2:9" s="214" customFormat="1" ht="3.75" customHeight="1" x14ac:dyDescent="0.2">
      <c r="B83" s="284"/>
      <c r="C83" s="284"/>
      <c r="D83" s="310"/>
      <c r="E83" s="469"/>
      <c r="F83" s="292"/>
      <c r="G83" s="464"/>
      <c r="H83" s="292"/>
    </row>
    <row r="84" spans="2:9" s="192" customFormat="1" x14ac:dyDescent="0.2">
      <c r="B84" s="555" t="str">
        <f>Calculations!B117</f>
        <v xml:space="preserve">COD removal from industrial effluent to meet discharge consent </v>
      </c>
      <c r="C84" s="555"/>
      <c r="D84" s="556"/>
      <c r="E84" s="463">
        <f ca="1">IF((Calculations!C117*E57)*VLOOKUP(n_EnergyUnits,a_ReptUnitsEnergy,2,FALSE)&lt;0,0,(Calculations!C117*E57)*VLOOKUP(n_EnergyUnits,a_ReptUnitsEnergy,2,FALSE))</f>
        <v>0</v>
      </c>
      <c r="F84" s="291" t="str">
        <f>F$68</f>
        <v>GWh/yr</v>
      </c>
      <c r="G84" s="463">
        <f ca="1">IF('Results Summary'!F15  * VLOOKUP(n_CarbonUnits,a_ReptUnitsCarbon,2,FALSE)&lt;0, 0, 'Results Summary'!F15  * VLOOKUP(n_CarbonUnits,a_ReptUnitsCarbon,2,FALSE))</f>
        <v>0</v>
      </c>
      <c r="H84" s="291" t="str">
        <f>H$68</f>
        <v>t CO2e/yr</v>
      </c>
    </row>
    <row r="85" spans="2:9" s="192" customFormat="1" ht="3.75" customHeight="1" x14ac:dyDescent="0.2">
      <c r="B85" s="364"/>
      <c r="C85" s="364"/>
      <c r="D85" s="364"/>
      <c r="E85" s="470"/>
      <c r="F85" s="367"/>
      <c r="G85" s="464"/>
      <c r="H85" s="367"/>
    </row>
    <row r="86" spans="2:9" s="192" customFormat="1" x14ac:dyDescent="0.2">
      <c r="B86" s="555" t="str">
        <f>Calculations!B119</f>
        <v>Reduced energy demands as a result of dilution of COD (if any)</v>
      </c>
      <c r="C86" s="555"/>
      <c r="D86" s="556"/>
      <c r="E86" s="463">
        <f ca="1">IF((Calculations!C119*E57)*VLOOKUP(n_EnergyUnits,a_ReptUnitsEnergy,2,FALSE)=0,0,(Calculations!C119*E57)*VLOOKUP(n_EnergyUnits,a_ReptUnitsEnergy,2,FALSE))</f>
        <v>0</v>
      </c>
      <c r="F86" s="291" t="str">
        <f>F$68</f>
        <v>GWh/yr</v>
      </c>
      <c r="G86" s="463">
        <f ca="1">IF('Results Summary'!F28  * VLOOKUP(n_CarbonUnits,a_ReptUnitsCarbon,2,FALSE)&lt;0, 0, 'Results Summary'!F28  * VLOOKUP(n_CarbonUnits,a_ReptUnitsCarbon,2,FALSE))</f>
        <v>0</v>
      </c>
      <c r="H86" s="291" t="str">
        <f>H$68</f>
        <v>t CO2e/yr</v>
      </c>
    </row>
    <row r="87" spans="2:9" s="214" customFormat="1" ht="3.75" customHeight="1" x14ac:dyDescent="0.2">
      <c r="B87" s="273"/>
      <c r="C87" s="298"/>
      <c r="D87" s="300"/>
      <c r="E87" s="465"/>
      <c r="F87" s="292"/>
      <c r="G87" s="466"/>
      <c r="H87" s="292"/>
    </row>
    <row r="88" spans="2:9" s="215" customFormat="1" x14ac:dyDescent="0.2">
      <c r="B88" s="548" t="str">
        <f>IF(n_Country="Select a Country","MAKE A SELECTION IN ROW 27","Pumping and treatment of all wastewater including rainwater")</f>
        <v>Pumping and treatment of all wastewater including rainwater</v>
      </c>
      <c r="C88" s="548"/>
      <c r="D88" s="549"/>
      <c r="E88" s="467">
        <f ca="1">(E76+E78+E80+E82+E84)+E86</f>
        <v>0</v>
      </c>
      <c r="F88" s="293" t="str">
        <f>F$68</f>
        <v>GWh/yr</v>
      </c>
      <c r="G88" s="467">
        <f ca="1">(G76+G78+G80+G82+G84)-G86</f>
        <v>0</v>
      </c>
      <c r="H88" s="293" t="str">
        <f>H$68</f>
        <v>t CO2e/yr</v>
      </c>
    </row>
    <row r="89" spans="2:9" s="214" customFormat="1" ht="12.75" customHeight="1" x14ac:dyDescent="0.2">
      <c r="B89" s="274"/>
      <c r="C89" s="216"/>
      <c r="D89" s="216"/>
      <c r="E89" s="373"/>
      <c r="F89" s="294"/>
      <c r="G89" s="373"/>
      <c r="H89" s="294"/>
    </row>
    <row r="90" spans="2:9" s="215" customFormat="1" x14ac:dyDescent="0.2">
      <c r="B90" s="548" t="str">
        <f>IF(n_Country="Select a Country","MAKE A SELECTION IN ROW 27","The urban water cycle")</f>
        <v>The urban water cycle</v>
      </c>
      <c r="C90" s="548"/>
      <c r="D90" s="549"/>
      <c r="E90" s="374">
        <f ca="1">(E72+E74+E88)</f>
        <v>0</v>
      </c>
      <c r="F90" s="293" t="str">
        <f>F$68</f>
        <v>GWh/yr</v>
      </c>
      <c r="G90" s="374">
        <f ca="1">(G72+G74+G88)</f>
        <v>0</v>
      </c>
      <c r="H90" s="293" t="str">
        <f>H$68</f>
        <v>t CO2e/yr</v>
      </c>
    </row>
    <row r="91" spans="2:9" s="214" customFormat="1" ht="3.75" customHeight="1" x14ac:dyDescent="0.2">
      <c r="B91" s="275"/>
      <c r="C91" s="299"/>
      <c r="D91" s="299"/>
      <c r="E91" s="375"/>
      <c r="F91" s="295"/>
      <c r="G91" s="375"/>
      <c r="H91" s="295"/>
    </row>
    <row r="92" spans="2:9" s="215" customFormat="1" x14ac:dyDescent="0.2">
      <c r="B92" s="548" t="str">
        <f>IF(n_Country="Select a Country","MAKE A SELECTION IN ROW 27","The urban water cycle minus DHW")</f>
        <v>The urban water cycle minus DHW</v>
      </c>
      <c r="C92" s="548"/>
      <c r="D92" s="549"/>
      <c r="E92" s="374">
        <f ca="1">(E72+E88)</f>
        <v>0</v>
      </c>
      <c r="F92" s="293" t="str">
        <f>F$68</f>
        <v>GWh/yr</v>
      </c>
      <c r="G92" s="374">
        <f ca="1">(G72+G88)</f>
        <v>0</v>
      </c>
      <c r="H92" s="293" t="str">
        <f>H$68</f>
        <v>t CO2e/yr</v>
      </c>
      <c r="I92" s="278"/>
    </row>
    <row r="93" spans="2:9" ht="12.75" customHeight="1" x14ac:dyDescent="0.2">
      <c r="B93" s="214"/>
      <c r="C93" s="294"/>
      <c r="D93" s="301"/>
      <c r="E93" s="380"/>
      <c r="F93" s="296"/>
      <c r="G93" s="369"/>
      <c r="H93" s="296"/>
    </row>
    <row r="94" spans="2:9" x14ac:dyDescent="0.2">
      <c r="B94" s="546" t="str">
        <f>IF(n_Country="Select a Country","MAKE A SELECTION IN ROW 27","Per m3 of water as it passes through the urban water cycle, accounting for losses (minus DHW)")</f>
        <v>Per m3 of water as it passes through the urban water cycle, accounting for losses (minus DHW)</v>
      </c>
      <c r="C94" s="546"/>
      <c r="D94" s="546"/>
      <c r="E94" s="471" t="e">
        <f ca="1">IF(F68="KWh/yr",E92/(Calculations!C52),IF(F68="MWh/yr",E92/(Calculations!C52)*1000,IF(F68="GWh/yr",E92/(Calculations!C52)*1000000,IF(F68="TWh/yr",E92/(Calculations!C52)*1000000000,IF(F68="MJ/yr",E92/(Calculations!C52)/3.6,IF(F68="GJ/yr",E92/(Calculations!C52)/0.0036,IF(F68="TJ/yr",E92/(Calculations!C52)/0.0000036,"error")))))))</f>
        <v>#DIV/0!</v>
      </c>
      <c r="F94" s="291" t="s">
        <v>631</v>
      </c>
      <c r="G94" s="468" t="e">
        <f ca="1">E94*'Results Summary'!D5</f>
        <v>#DIV/0!</v>
      </c>
      <c r="H94" s="291" t="s">
        <v>632</v>
      </c>
    </row>
    <row r="95" spans="2:9" s="125" customFormat="1" ht="3.75" customHeight="1" x14ac:dyDescent="0.2">
      <c r="B95" s="325"/>
      <c r="C95" s="325"/>
      <c r="D95" s="325"/>
      <c r="E95" s="377"/>
      <c r="F95" s="326"/>
      <c r="G95" s="377"/>
      <c r="H95" s="326"/>
    </row>
    <row r="96" spans="2:9" x14ac:dyDescent="0.2">
      <c r="D96" s="320" t="s">
        <v>633</v>
      </c>
      <c r="E96" s="376">
        <f>Calculations!C103</f>
        <v>46.511111111111113</v>
      </c>
      <c r="F96" s="291" t="s">
        <v>631</v>
      </c>
      <c r="G96" s="376">
        <f>E96*'Results Summary'!D4</f>
        <v>8.5580444444444446</v>
      </c>
      <c r="H96" s="291" t="s">
        <v>632</v>
      </c>
    </row>
    <row r="97" spans="3:8" s="125" customFormat="1" ht="3.75" customHeight="1" x14ac:dyDescent="0.2">
      <c r="C97" s="327"/>
      <c r="D97" s="325"/>
      <c r="E97" s="377"/>
      <c r="F97" s="326"/>
      <c r="G97" s="377"/>
      <c r="H97" s="326"/>
    </row>
    <row r="98" spans="3:8" x14ac:dyDescent="0.2">
      <c r="D98" s="309" t="s">
        <v>634</v>
      </c>
      <c r="E98" s="467" t="e">
        <f ca="1">E96+E94</f>
        <v>#DIV/0!</v>
      </c>
      <c r="F98" s="291" t="s">
        <v>631</v>
      </c>
      <c r="G98" s="467" t="e">
        <f ca="1">G96+G94</f>
        <v>#DIV/0!</v>
      </c>
      <c r="H98" s="291" t="s">
        <v>632</v>
      </c>
    </row>
    <row r="99" spans="3:8" x14ac:dyDescent="0.2">
      <c r="G99" s="323"/>
    </row>
  </sheetData>
  <sheetProtection sheet="1" objects="1" scenarios="1" formatColumns="0" formatRows="0" autoFilter="0"/>
  <mergeCells count="31">
    <mergeCell ref="I56:I57"/>
    <mergeCell ref="G60:H60"/>
    <mergeCell ref="B80:D80"/>
    <mergeCell ref="B82:D82"/>
    <mergeCell ref="B68:D68"/>
    <mergeCell ref="B70:D70"/>
    <mergeCell ref="G61:I65"/>
    <mergeCell ref="G57:H57"/>
    <mergeCell ref="C27:D27"/>
    <mergeCell ref="G34:H34"/>
    <mergeCell ref="G50:H50"/>
    <mergeCell ref="G54:H54"/>
    <mergeCell ref="G35:H35"/>
    <mergeCell ref="G29:H29"/>
    <mergeCell ref="G51:H52"/>
    <mergeCell ref="B94:D94"/>
    <mergeCell ref="I33:I34"/>
    <mergeCell ref="B92:D92"/>
    <mergeCell ref="B72:D72"/>
    <mergeCell ref="B74:D74"/>
    <mergeCell ref="B76:D76"/>
    <mergeCell ref="I74:K74"/>
    <mergeCell ref="G37:H37"/>
    <mergeCell ref="B90:D90"/>
    <mergeCell ref="G33:H33"/>
    <mergeCell ref="B88:D88"/>
    <mergeCell ref="B77:D77"/>
    <mergeCell ref="B78:D78"/>
    <mergeCell ref="G56:H56"/>
    <mergeCell ref="B86:D86"/>
    <mergeCell ref="B84:D84"/>
  </mergeCells>
  <conditionalFormatting sqref="A1:A2">
    <cfRule type="containsText" dxfId="16" priority="3" stopIfTrue="1" operator="containsText" text="Err">
      <formula>NOT(ISERROR(SEARCH("Err",A1)))</formula>
    </cfRule>
  </conditionalFormatting>
  <conditionalFormatting sqref="E51:E52 E55 E30:E35 E38:E48 E61:E65 E58">
    <cfRule type="expression" dxfId="15" priority="14">
      <formula>(OR(AND($J30&lt;&gt;"",$E30&lt;&gt;"",$E30&lt;$J30),AND($K30&lt;&gt;"",$E30&lt;&gt;"",$E30&gt;$K30)))</formula>
    </cfRule>
  </conditionalFormatting>
  <conditionalFormatting sqref="E56:E57">
    <cfRule type="expression" dxfId="14" priority="1">
      <formula>(OR(AND($J56&lt;&gt;"",$E56&lt;&gt;"",$E56&lt;$J56),AND($K56&lt;&gt;"",$E56&lt;&gt;"",$E56&gt;$K56)))</formula>
    </cfRule>
  </conditionalFormatting>
  <dataValidations count="5">
    <dataValidation type="list" allowBlank="1" showInputMessage="1" showErrorMessage="1" sqref="A1">
      <formula1>l_OKErr</formula1>
    </dataValidation>
    <dataValidation type="list" allowBlank="1" showInputMessage="1" showErrorMessage="1" sqref="C27">
      <formula1>l_Countries</formula1>
    </dataValidation>
    <dataValidation type="list" allowBlank="1" showInputMessage="1" showErrorMessage="1" sqref="F68">
      <formula1>INDEX(a_ReptUnitsEnergy,,1)</formula1>
    </dataValidation>
    <dataValidation type="list" allowBlank="1" showInputMessage="1" showErrorMessage="1" sqref="H68">
      <formula1>INDEX(a_ReptUnitsCarbon,,1)</formula1>
    </dataValidation>
    <dataValidation allowBlank="1" showInputMessage="1" showErrorMessage="1" promptTitle="Linked Cells" prompt="If the user decides to enter a bespoke value for either &quot;average volume of industrial effluent discharged to sewer&quot; or &quot;average industrial COD produced&quot;, a bespoke value must also be entered for the other parameter as well." sqref="D51:D52"/>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8"/>
    <outlinePr summaryBelow="0" summaryRight="0"/>
  </sheetPr>
  <dimension ref="A1:I64"/>
  <sheetViews>
    <sheetView showGridLines="0" topLeftCell="A2" zoomScale="120" zoomScaleNormal="120" workbookViewId="0">
      <selection activeCell="B18" sqref="B18:H25"/>
    </sheetView>
  </sheetViews>
  <sheetFormatPr defaultColWidth="0" defaultRowHeight="12.75" zeroHeight="1" x14ac:dyDescent="0.2"/>
  <cols>
    <col min="1" max="1" width="4.85546875" style="120" customWidth="1"/>
    <col min="2" max="2" width="69.85546875" style="120" bestFit="1" customWidth="1"/>
    <col min="3" max="3" width="16.85546875" style="407" customWidth="1"/>
    <col min="4" max="4" width="9.7109375" style="407" customWidth="1"/>
    <col min="5" max="5" width="13" style="407" customWidth="1"/>
    <col min="6" max="6" width="15.42578125" style="407" bestFit="1" customWidth="1"/>
    <col min="7" max="7" width="9.7109375" style="407" customWidth="1"/>
    <col min="8" max="8" width="9.5703125" style="407" bestFit="1" customWidth="1"/>
    <col min="9" max="9" width="3.7109375" style="120" customWidth="1"/>
    <col min="10" max="16384" width="9.140625" style="120" hidden="1"/>
  </cols>
  <sheetData>
    <row r="1" spans="1:8" x14ac:dyDescent="0.2">
      <c r="A1" s="81" t="s">
        <v>2</v>
      </c>
    </row>
    <row r="2" spans="1:8" ht="15.75" x14ac:dyDescent="0.2">
      <c r="B2" s="480" t="s">
        <v>528</v>
      </c>
      <c r="C2" s="500"/>
      <c r="D2" s="500"/>
      <c r="E2" s="500"/>
    </row>
    <row r="3" spans="1:8" s="210" customFormat="1" collapsed="1" x14ac:dyDescent="0.2">
      <c r="B3" s="562" t="s">
        <v>629</v>
      </c>
      <c r="C3" s="562"/>
      <c r="D3" s="562"/>
      <c r="E3" s="562"/>
      <c r="F3" s="156"/>
      <c r="G3" s="156"/>
      <c r="H3" s="156"/>
    </row>
    <row r="4" spans="1:8" hidden="1" x14ac:dyDescent="0.2">
      <c r="C4" s="156" t="str">
        <f>'Background Data'!B8</f>
        <v>Conversion factor for Natural Gas</v>
      </c>
      <c r="D4" s="408">
        <f>'Background Data'!C8</f>
        <v>0.184</v>
      </c>
      <c r="E4" s="156" t="str">
        <f>'Background Data'!D8</f>
        <v>kgCO2e/kWh</v>
      </c>
      <c r="F4" s="156"/>
      <c r="H4" s="156"/>
    </row>
    <row r="5" spans="1:8" hidden="1" x14ac:dyDescent="0.2">
      <c r="C5" s="156" t="str">
        <f>'Background Data'!B9</f>
        <v>Conversion factor for electricity</v>
      </c>
      <c r="D5" s="408">
        <f>'Background Data'!C9</f>
        <v>0.52461999999999998</v>
      </c>
      <c r="E5" s="156" t="str">
        <f>'Background Data'!D9</f>
        <v>kgCO2e/kWh</v>
      </c>
      <c r="F5" s="156"/>
      <c r="H5" s="156"/>
    </row>
    <row r="6" spans="1:8" x14ac:dyDescent="0.2"/>
    <row r="7" spans="1:8" s="122" customFormat="1" ht="15.75" thickBot="1" x14ac:dyDescent="0.3">
      <c r="B7" s="501" t="s">
        <v>627</v>
      </c>
      <c r="C7" s="409" t="s">
        <v>477</v>
      </c>
      <c r="D7" s="410" t="s">
        <v>370</v>
      </c>
      <c r="E7" s="411" t="s">
        <v>494</v>
      </c>
      <c r="F7" s="412" t="s">
        <v>552</v>
      </c>
      <c r="G7" s="410" t="s">
        <v>43</v>
      </c>
      <c r="H7" s="411" t="s">
        <v>494</v>
      </c>
    </row>
    <row r="8" spans="1:8" s="214" customFormat="1" x14ac:dyDescent="0.2">
      <c r="B8" s="502" t="str">
        <f>SUBSTITUTE('Front Sheet'!B74:D74,"Total energy used to ","…")</f>
        <v>Heating Domestic Hot Water (DHW)</v>
      </c>
      <c r="C8" s="413">
        <f ca="1">'Front Sheet'!E74</f>
        <v>0</v>
      </c>
      <c r="D8" s="414" t="str">
        <f t="shared" ref="D8:D16" si="0">n_EnergyUnits</f>
        <v>GWh/yr</v>
      </c>
      <c r="E8" s="415" t="e">
        <f t="shared" ref="E8:E15" ca="1" si="1">C8/($C$16)</f>
        <v>#DIV/0!</v>
      </c>
      <c r="F8" s="416">
        <f t="shared" ref="F8" ca="1" si="2">(C8*1000000*$D$5/1000) * VLOOKUP(n_CarbonUnits,a_ReptUnitsCarbon,2,FALSE)</f>
        <v>0</v>
      </c>
      <c r="G8" s="417" t="str">
        <f>n_CarbonUnits</f>
        <v>t CO2e/yr</v>
      </c>
      <c r="H8" s="418" t="e">
        <f t="shared" ref="H8:H15" ca="1" si="3">F8/($F$16)</f>
        <v>#DIV/0!</v>
      </c>
    </row>
    <row r="9" spans="1:8" s="214" customFormat="1" x14ac:dyDescent="0.2">
      <c r="B9" s="503" t="str">
        <f>'Front Sheet'!B68:D68</f>
        <v>Abstraction, treatment and pumping of potable water to households</v>
      </c>
      <c r="C9" s="419">
        <f ca="1">'Front Sheet'!E68</f>
        <v>0</v>
      </c>
      <c r="D9" s="420" t="str">
        <f t="shared" si="0"/>
        <v>GWh/yr</v>
      </c>
      <c r="E9" s="421" t="e">
        <f t="shared" ca="1" si="1"/>
        <v>#DIV/0!</v>
      </c>
      <c r="F9" s="416">
        <f ca="1">IF('Front Sheet'!E35&gt;0,(((C9*1000000*$D$5/1000)*(1-'Front Sheet'!E35))*VLOOKUP(n_CarbonUnits,a_ReptUnitsCarbon,2,FALSE)),(C9*1000000*$D$5/1000)*VLOOKUP(n_CarbonUnits,a_ReptUnitsCarbon,2,FALSE))</f>
        <v>0</v>
      </c>
      <c r="G9" s="422" t="str">
        <f>n_CarbonUnits</f>
        <v>t CO2e/yr</v>
      </c>
      <c r="H9" s="423" t="e">
        <f t="shared" ca="1" si="3"/>
        <v>#DIV/0!</v>
      </c>
    </row>
    <row r="10" spans="1:8" s="214" customFormat="1" x14ac:dyDescent="0.2">
      <c r="B10" s="503" t="str">
        <f>'Front Sheet'!B70:D70</f>
        <v>Abstraction, treatment and pumping of potable water lost through leakage</v>
      </c>
      <c r="C10" s="419">
        <f ca="1">'Front Sheet'!E70</f>
        <v>0</v>
      </c>
      <c r="D10" s="420" t="str">
        <f t="shared" si="0"/>
        <v>GWh/yr</v>
      </c>
      <c r="E10" s="421" t="e">
        <f t="shared" ca="1" si="1"/>
        <v>#DIV/0!</v>
      </c>
      <c r="F10" s="416">
        <f ca="1">IF('Front Sheet'!E35&gt;0,(((C10*1000000*$D$5/1000)*(1-'Front Sheet'!E35))*VLOOKUP(n_CarbonUnits,a_ReptUnitsCarbon,2,FALSE)),(C10*1000000*$D$5/1000)*VLOOKUP(n_CarbonUnits,a_ReptUnitsCarbon,2,FALSE))</f>
        <v>0</v>
      </c>
      <c r="G10" s="422" t="str">
        <f t="shared" ref="G10:G16" si="4">n_CarbonUnits</f>
        <v>t CO2e/yr</v>
      </c>
      <c r="H10" s="423" t="e">
        <f t="shared" ca="1" si="3"/>
        <v>#DIV/0!</v>
      </c>
    </row>
    <row r="11" spans="1:8" s="214" customFormat="1" x14ac:dyDescent="0.2">
      <c r="B11" s="503" t="str">
        <f>'Front Sheet'!B76:D76</f>
        <v>Pumping of rainwater received by combined sewers</v>
      </c>
      <c r="C11" s="419">
        <f ca="1">'Front Sheet'!E76</f>
        <v>0</v>
      </c>
      <c r="D11" s="420" t="str">
        <f t="shared" si="0"/>
        <v>GWh/yr</v>
      </c>
      <c r="E11" s="421" t="e">
        <f t="shared" ca="1" si="1"/>
        <v>#DIV/0!</v>
      </c>
      <c r="F11" s="416">
        <f ca="1">(C11*1000000*$D$5/1000) * VLOOKUP(n_CarbonUnits,a_ReptUnitsCarbon,2,FALSE)</f>
        <v>0</v>
      </c>
      <c r="G11" s="422" t="str">
        <f t="shared" si="4"/>
        <v>t CO2e/yr</v>
      </c>
      <c r="H11" s="423" t="e">
        <f t="shared" ca="1" si="3"/>
        <v>#DIV/0!</v>
      </c>
    </row>
    <row r="12" spans="1:8" s="214" customFormat="1" x14ac:dyDescent="0.2">
      <c r="B12" s="504" t="str">
        <f>'Front Sheet'!B78:D78</f>
        <v>Pumping of domestic wastewater</v>
      </c>
      <c r="C12" s="419">
        <f>'Front Sheet'!E78</f>
        <v>0</v>
      </c>
      <c r="D12" s="420" t="str">
        <f t="shared" si="0"/>
        <v>GWh/yr</v>
      </c>
      <c r="E12" s="421" t="e">
        <f t="shared" ca="1" si="1"/>
        <v>#DIV/0!</v>
      </c>
      <c r="F12" s="416">
        <f ca="1">IF('Front Sheet'!E58&gt;0,(((C12*1000000*$D$5/1000)*(1-'Front Sheet'!E58))*VLOOKUP(n_CarbonUnits,a_ReptUnitsCarbon,2,FALSE)),(C12*1000000*$D$5/1000)*VLOOKUP(n_CarbonUnits,a_ReptUnitsCarbon,2,FALSE))</f>
        <v>0</v>
      </c>
      <c r="G12" s="422" t="str">
        <f t="shared" si="4"/>
        <v>t CO2e/yr</v>
      </c>
      <c r="H12" s="423" t="e">
        <f t="shared" ca="1" si="3"/>
        <v>#DIV/0!</v>
      </c>
    </row>
    <row r="13" spans="1:8" s="214" customFormat="1" x14ac:dyDescent="0.2">
      <c r="B13" s="504" t="str">
        <f>'Front Sheet'!B80:D80</f>
        <v xml:space="preserve">COD removal from domestic wastewater to meet discharge consent </v>
      </c>
      <c r="C13" s="419">
        <f ca="1">'Front Sheet'!E80</f>
        <v>0</v>
      </c>
      <c r="D13" s="420" t="str">
        <f>n_EnergyUnits</f>
        <v>GWh/yr</v>
      </c>
      <c r="E13" s="421" t="e">
        <f t="shared" ca="1" si="1"/>
        <v>#DIV/0!</v>
      </c>
      <c r="F13" s="416">
        <f ca="1">IF('Front Sheet'!E58&gt;0,(((C13*1000000*$D$5/1000)*(1-'Front Sheet'!E58))*VLOOKUP(n_CarbonUnits,a_ReptUnitsCarbon,2,FALSE)),(C13*1000000*$D$5/1000)*VLOOKUP(n_CarbonUnits,a_ReptUnitsCarbon,2,FALSE))</f>
        <v>0</v>
      </c>
      <c r="G13" s="422" t="str">
        <f>n_CarbonUnits</f>
        <v>t CO2e/yr</v>
      </c>
      <c r="H13" s="423" t="e">
        <f t="shared" ca="1" si="3"/>
        <v>#DIV/0!</v>
      </c>
    </row>
    <row r="14" spans="1:8" s="214" customFormat="1" x14ac:dyDescent="0.2">
      <c r="B14" s="504" t="str">
        <f>'Front Sheet'!B82:D82</f>
        <v>Pumping of industrial wastewater</v>
      </c>
      <c r="C14" s="419">
        <f>'Front Sheet'!E82</f>
        <v>0</v>
      </c>
      <c r="D14" s="420" t="str">
        <f>n_EnergyUnits</f>
        <v>GWh/yr</v>
      </c>
      <c r="E14" s="421" t="e">
        <f t="shared" ca="1" si="1"/>
        <v>#DIV/0!</v>
      </c>
      <c r="F14" s="416">
        <f ca="1">IF('Front Sheet'!E58&gt;0,(((C14*1000000*$D$5/1000)*(1-'Front Sheet'!E58))*VLOOKUP(n_CarbonUnits,a_ReptUnitsCarbon,2,FALSE)),(C14*1000000*$D$5/1000)*VLOOKUP(n_CarbonUnits,a_ReptUnitsCarbon,2,FALSE))</f>
        <v>0</v>
      </c>
      <c r="G14" s="422" t="str">
        <f>n_CarbonUnits</f>
        <v>t CO2e/yr</v>
      </c>
      <c r="H14" s="423" t="e">
        <f t="shared" ca="1" si="3"/>
        <v>#DIV/0!</v>
      </c>
    </row>
    <row r="15" spans="1:8" s="214" customFormat="1" ht="13.5" thickBot="1" x14ac:dyDescent="0.25">
      <c r="B15" s="505" t="str">
        <f>'Front Sheet'!B84:D84</f>
        <v xml:space="preserve">COD removal from industrial effluent to meet discharge consent </v>
      </c>
      <c r="C15" s="424">
        <f ca="1">'Front Sheet'!E84</f>
        <v>0</v>
      </c>
      <c r="D15" s="425" t="str">
        <f>n_EnergyUnits</f>
        <v>GWh/yr</v>
      </c>
      <c r="E15" s="426" t="e">
        <f t="shared" ca="1" si="1"/>
        <v>#DIV/0!</v>
      </c>
      <c r="F15" s="427">
        <f ca="1">IF('Front Sheet'!E58&gt;0,(((C15*1000000*$D$5/1000)*(1-'Front Sheet'!E58))*VLOOKUP(n_CarbonUnits,a_ReptUnitsCarbon,2,FALSE)),(C15*1000000*$D$5/1000)*VLOOKUP(n_CarbonUnits,a_ReptUnitsCarbon,2,FALSE))</f>
        <v>0</v>
      </c>
      <c r="G15" s="428" t="str">
        <f t="shared" si="4"/>
        <v>t CO2e/yr</v>
      </c>
      <c r="H15" s="429" t="e">
        <f t="shared" ca="1" si="3"/>
        <v>#DIV/0!</v>
      </c>
    </row>
    <row r="16" spans="1:8" s="214" customFormat="1" x14ac:dyDescent="0.2">
      <c r="B16" s="322" t="s">
        <v>476</v>
      </c>
      <c r="C16" s="430">
        <f ca="1">SUM(C8:C15)</f>
        <v>0</v>
      </c>
      <c r="D16" s="431" t="str">
        <f t="shared" si="0"/>
        <v>GWh/yr</v>
      </c>
      <c r="E16" s="432"/>
      <c r="F16" s="433">
        <f ca="1">SUM(F8:F15)</f>
        <v>0</v>
      </c>
      <c r="G16" s="431" t="str">
        <f t="shared" si="4"/>
        <v>t CO2e/yr</v>
      </c>
      <c r="H16" s="434"/>
    </row>
    <row r="17" spans="2:8" x14ac:dyDescent="0.2">
      <c r="F17" s="435"/>
    </row>
    <row r="18" spans="2:8" s="122" customFormat="1" ht="15" x14ac:dyDescent="0.25">
      <c r="B18" s="506" t="s">
        <v>628</v>
      </c>
      <c r="C18" s="409" t="s">
        <v>477</v>
      </c>
      <c r="D18" s="410" t="s">
        <v>370</v>
      </c>
      <c r="E18" s="411" t="s">
        <v>494</v>
      </c>
      <c r="F18" s="436" t="s">
        <v>552</v>
      </c>
      <c r="G18" s="410" t="s">
        <v>43</v>
      </c>
      <c r="H18" s="411" t="s">
        <v>494</v>
      </c>
    </row>
    <row r="19" spans="2:8" s="276" customFormat="1" x14ac:dyDescent="0.2">
      <c r="B19" s="502" t="str">
        <f>'Front Sheet'!B68:D68</f>
        <v>Abstraction, treatment and pumping of potable water to households</v>
      </c>
      <c r="C19" s="413">
        <f t="shared" ref="C19:D24" ca="1" si="5">C9</f>
        <v>0</v>
      </c>
      <c r="D19" s="414" t="str">
        <f t="shared" si="5"/>
        <v>GWh/yr</v>
      </c>
      <c r="E19" s="415" t="e">
        <f t="shared" ref="E19:E25" ca="1" si="6">C19/($C$26)</f>
        <v>#DIV/0!</v>
      </c>
      <c r="F19" s="437">
        <f t="shared" ref="F19:G24" ca="1" si="7">F9</f>
        <v>0</v>
      </c>
      <c r="G19" s="417" t="str">
        <f t="shared" si="7"/>
        <v>t CO2e/yr</v>
      </c>
      <c r="H19" s="438" t="e">
        <f t="shared" ref="H19:H25" ca="1" si="8">F19/($F$26)</f>
        <v>#DIV/0!</v>
      </c>
    </row>
    <row r="20" spans="2:8" s="276" customFormat="1" x14ac:dyDescent="0.2">
      <c r="B20" s="503" t="str">
        <f>'Front Sheet'!B70:D70</f>
        <v>Abstraction, treatment and pumping of potable water lost through leakage</v>
      </c>
      <c r="C20" s="419">
        <f t="shared" ca="1" si="5"/>
        <v>0</v>
      </c>
      <c r="D20" s="420" t="str">
        <f t="shared" si="5"/>
        <v>GWh/yr</v>
      </c>
      <c r="E20" s="421" t="e">
        <f t="shared" ca="1" si="6"/>
        <v>#DIV/0!</v>
      </c>
      <c r="F20" s="416">
        <f t="shared" ca="1" si="7"/>
        <v>0</v>
      </c>
      <c r="G20" s="422" t="str">
        <f t="shared" si="7"/>
        <v>t CO2e/yr</v>
      </c>
      <c r="H20" s="423" t="e">
        <f t="shared" ca="1" si="8"/>
        <v>#DIV/0!</v>
      </c>
    </row>
    <row r="21" spans="2:8" s="276" customFormat="1" x14ac:dyDescent="0.2">
      <c r="B21" s="503" t="str">
        <f>'Front Sheet'!B76:D76</f>
        <v>Pumping of rainwater received by combined sewers</v>
      </c>
      <c r="C21" s="419">
        <f t="shared" ca="1" si="5"/>
        <v>0</v>
      </c>
      <c r="D21" s="420" t="str">
        <f t="shared" si="5"/>
        <v>GWh/yr</v>
      </c>
      <c r="E21" s="421" t="e">
        <f t="shared" ca="1" si="6"/>
        <v>#DIV/0!</v>
      </c>
      <c r="F21" s="416">
        <f t="shared" ca="1" si="7"/>
        <v>0</v>
      </c>
      <c r="G21" s="422" t="str">
        <f t="shared" si="7"/>
        <v>t CO2e/yr</v>
      </c>
      <c r="H21" s="423" t="e">
        <f t="shared" ca="1" si="8"/>
        <v>#DIV/0!</v>
      </c>
    </row>
    <row r="22" spans="2:8" s="276" customFormat="1" x14ac:dyDescent="0.2">
      <c r="B22" s="504" t="str">
        <f>'Front Sheet'!B78:D78</f>
        <v>Pumping of domestic wastewater</v>
      </c>
      <c r="C22" s="419">
        <f t="shared" si="5"/>
        <v>0</v>
      </c>
      <c r="D22" s="420" t="str">
        <f t="shared" si="5"/>
        <v>GWh/yr</v>
      </c>
      <c r="E22" s="421" t="e">
        <f t="shared" ca="1" si="6"/>
        <v>#DIV/0!</v>
      </c>
      <c r="F22" s="416">
        <f t="shared" ca="1" si="7"/>
        <v>0</v>
      </c>
      <c r="G22" s="422" t="str">
        <f t="shared" si="7"/>
        <v>t CO2e/yr</v>
      </c>
      <c r="H22" s="423" t="e">
        <f t="shared" ca="1" si="8"/>
        <v>#DIV/0!</v>
      </c>
    </row>
    <row r="23" spans="2:8" s="276" customFormat="1" x14ac:dyDescent="0.2">
      <c r="B23" s="504" t="str">
        <f>B13</f>
        <v xml:space="preserve">COD removal from domestic wastewater to meet discharge consent </v>
      </c>
      <c r="C23" s="419">
        <f t="shared" ca="1" si="5"/>
        <v>0</v>
      </c>
      <c r="D23" s="420" t="str">
        <f t="shared" si="5"/>
        <v>GWh/yr</v>
      </c>
      <c r="E23" s="421" t="e">
        <f t="shared" ca="1" si="6"/>
        <v>#DIV/0!</v>
      </c>
      <c r="F23" s="416">
        <f t="shared" ca="1" si="7"/>
        <v>0</v>
      </c>
      <c r="G23" s="422" t="str">
        <f t="shared" si="7"/>
        <v>t CO2e/yr</v>
      </c>
      <c r="H23" s="423" t="e">
        <f t="shared" ca="1" si="8"/>
        <v>#DIV/0!</v>
      </c>
    </row>
    <row r="24" spans="2:8" s="276" customFormat="1" x14ac:dyDescent="0.2">
      <c r="B24" s="504" t="str">
        <f>'Front Sheet'!B82:D82</f>
        <v>Pumping of industrial wastewater</v>
      </c>
      <c r="C24" s="419">
        <f t="shared" si="5"/>
        <v>0</v>
      </c>
      <c r="D24" s="420" t="str">
        <f t="shared" si="5"/>
        <v>GWh/yr</v>
      </c>
      <c r="E24" s="421" t="e">
        <f t="shared" ca="1" si="6"/>
        <v>#DIV/0!</v>
      </c>
      <c r="F24" s="416">
        <f t="shared" ca="1" si="7"/>
        <v>0</v>
      </c>
      <c r="G24" s="422" t="str">
        <f t="shared" si="7"/>
        <v>t CO2e/yr</v>
      </c>
      <c r="H24" s="423" t="e">
        <f t="shared" ca="1" si="8"/>
        <v>#DIV/0!</v>
      </c>
    </row>
    <row r="25" spans="2:8" s="276" customFormat="1" ht="13.5" thickBot="1" x14ac:dyDescent="0.25">
      <c r="B25" s="505" t="str">
        <f>'Front Sheet'!B84:D84</f>
        <v xml:space="preserve">COD removal from industrial effluent to meet discharge consent </v>
      </c>
      <c r="C25" s="424">
        <f t="shared" ref="C25:D25" ca="1" si="9">C15</f>
        <v>0</v>
      </c>
      <c r="D25" s="425" t="str">
        <f t="shared" si="9"/>
        <v>GWh/yr</v>
      </c>
      <c r="E25" s="426" t="e">
        <f t="shared" ca="1" si="6"/>
        <v>#DIV/0!</v>
      </c>
      <c r="F25" s="427">
        <f t="shared" ref="F25:G25" ca="1" si="10">F15</f>
        <v>0</v>
      </c>
      <c r="G25" s="428" t="str">
        <f t="shared" si="10"/>
        <v>t CO2e/yr</v>
      </c>
      <c r="H25" s="429" t="e">
        <f t="shared" ca="1" si="8"/>
        <v>#DIV/0!</v>
      </c>
    </row>
    <row r="26" spans="2:8" s="215" customFormat="1" x14ac:dyDescent="0.2">
      <c r="B26" s="322" t="s">
        <v>476</v>
      </c>
      <c r="C26" s="430">
        <f ca="1">SUM(C19:C25)</f>
        <v>0</v>
      </c>
      <c r="D26" s="431" t="str">
        <f>D16</f>
        <v>GWh/yr</v>
      </c>
      <c r="E26" s="432"/>
      <c r="F26" s="433">
        <f ca="1">SUM(F19:F25)</f>
        <v>0</v>
      </c>
      <c r="G26" s="431" t="str">
        <f>G16</f>
        <v>t CO2e/yr</v>
      </c>
      <c r="H26" s="439"/>
    </row>
    <row r="27" spans="2:8" s="215" customFormat="1" x14ac:dyDescent="0.2">
      <c r="B27" s="322"/>
      <c r="C27" s="430"/>
      <c r="D27" s="431"/>
      <c r="E27" s="432"/>
      <c r="F27" s="433"/>
      <c r="G27" s="431"/>
      <c r="H27" s="439"/>
    </row>
    <row r="28" spans="2:8" s="214" customFormat="1" ht="13.5" thickBot="1" x14ac:dyDescent="0.25">
      <c r="B28" s="460" t="str">
        <f>'Front Sheet'!B86:D86</f>
        <v>Reduced energy demands as a result of dilution of COD (if any)</v>
      </c>
      <c r="C28" s="459">
        <f ca="1">'Front Sheet'!E86</f>
        <v>0</v>
      </c>
      <c r="D28" s="425" t="str">
        <f>D26</f>
        <v>GWh/yr</v>
      </c>
      <c r="E28" s="459"/>
      <c r="F28" s="427">
        <f ca="1">(C28*1000000*$D$5/1000) * VLOOKUP(n_CarbonUnits,a_ReptUnitsCarbon,2,FALSE)</f>
        <v>0</v>
      </c>
      <c r="G28" s="428" t="str">
        <f>G26</f>
        <v>t CO2e/yr</v>
      </c>
      <c r="H28" s="460"/>
    </row>
    <row r="29" spans="2:8" hidden="1" x14ac:dyDescent="0.2">
      <c r="C29" s="440"/>
      <c r="D29" s="440"/>
      <c r="E29" s="440"/>
      <c r="F29" s="440"/>
    </row>
    <row r="30" spans="2:8" hidden="1" x14ac:dyDescent="0.2">
      <c r="C30" s="440"/>
      <c r="D30" s="440"/>
      <c r="E30" s="440"/>
      <c r="F30" s="440"/>
    </row>
    <row r="31" spans="2:8" hidden="1" x14ac:dyDescent="0.2">
      <c r="C31" s="440"/>
      <c r="D31" s="440"/>
      <c r="E31" s="440"/>
      <c r="F31" s="440"/>
    </row>
    <row r="32" spans="2:8" hidden="1" x14ac:dyDescent="0.2">
      <c r="C32" s="440"/>
      <c r="D32" s="440"/>
      <c r="E32" s="440"/>
      <c r="F32" s="440"/>
    </row>
    <row r="33" spans="2:8" hidden="1" x14ac:dyDescent="0.2">
      <c r="C33" s="440"/>
      <c r="D33" s="440"/>
      <c r="E33" s="440"/>
      <c r="F33" s="440"/>
    </row>
    <row r="34" spans="2:8" hidden="1" x14ac:dyDescent="0.2">
      <c r="C34" s="440"/>
      <c r="D34" s="440"/>
      <c r="E34" s="440"/>
      <c r="F34" s="441"/>
    </row>
    <row r="35" spans="2:8" hidden="1" x14ac:dyDescent="0.2">
      <c r="C35" s="440"/>
      <c r="D35" s="440"/>
      <c r="E35" s="440"/>
      <c r="F35" s="440"/>
    </row>
    <row r="36" spans="2:8" hidden="1" x14ac:dyDescent="0.2">
      <c r="C36" s="440"/>
      <c r="D36" s="440"/>
      <c r="E36" s="440"/>
      <c r="F36" s="441"/>
    </row>
    <row r="37" spans="2:8" hidden="1" x14ac:dyDescent="0.2"/>
    <row r="38" spans="2:8" hidden="1" x14ac:dyDescent="0.2"/>
    <row r="39" spans="2:8" hidden="1" x14ac:dyDescent="0.2"/>
    <row r="40" spans="2:8" hidden="1" x14ac:dyDescent="0.2"/>
    <row r="41" spans="2:8" hidden="1" x14ac:dyDescent="0.2"/>
    <row r="42" spans="2:8" hidden="1" x14ac:dyDescent="0.2"/>
    <row r="43" spans="2:8" x14ac:dyDescent="0.2"/>
    <row r="44" spans="2:8" s="122" customFormat="1" ht="15.75" thickBot="1" x14ac:dyDescent="0.3">
      <c r="B44" s="506" t="s">
        <v>738</v>
      </c>
      <c r="C44" s="409" t="s">
        <v>477</v>
      </c>
      <c r="D44" s="410" t="s">
        <v>370</v>
      </c>
      <c r="E44" s="442" t="s">
        <v>494</v>
      </c>
      <c r="F44" s="436" t="s">
        <v>552</v>
      </c>
      <c r="G44" s="410" t="s">
        <v>43</v>
      </c>
      <c r="H44" s="411" t="s">
        <v>494</v>
      </c>
    </row>
    <row r="45" spans="2:8" s="276" customFormat="1" x14ac:dyDescent="0.2">
      <c r="B45" s="502" t="str">
        <f t="shared" ref="B45:D47" si="11">B12</f>
        <v>Pumping of domestic wastewater</v>
      </c>
      <c r="C45" s="403">
        <f t="shared" si="11"/>
        <v>0</v>
      </c>
      <c r="D45" s="443" t="str">
        <f t="shared" si="11"/>
        <v>GWh/yr</v>
      </c>
      <c r="E45" s="444" t="e">
        <f t="shared" ref="E45:E48" ca="1" si="12">C45/($C$26)</f>
        <v>#DIV/0!</v>
      </c>
      <c r="F45" s="458">
        <f t="shared" ref="F45:G47" ca="1" si="13">F12</f>
        <v>0</v>
      </c>
      <c r="G45" s="404" t="str">
        <f t="shared" si="13"/>
        <v>t CO2e/yr</v>
      </c>
      <c r="H45" s="423" t="e">
        <f t="shared" ref="H45:H47" ca="1" si="14">F45/($F$26)</f>
        <v>#DIV/0!</v>
      </c>
    </row>
    <row r="46" spans="2:8" s="276" customFormat="1" x14ac:dyDescent="0.2">
      <c r="B46" s="503" t="str">
        <f t="shared" si="11"/>
        <v xml:space="preserve">COD removal from domestic wastewater to meet discharge consent </v>
      </c>
      <c r="C46" s="405">
        <f t="shared" ca="1" si="11"/>
        <v>0</v>
      </c>
      <c r="D46" s="445" t="str">
        <f t="shared" si="11"/>
        <v>GWh/yr</v>
      </c>
      <c r="E46" s="444" t="e">
        <f t="shared" ca="1" si="12"/>
        <v>#DIV/0!</v>
      </c>
      <c r="F46" s="455">
        <f t="shared" ca="1" si="13"/>
        <v>0</v>
      </c>
      <c r="G46" s="406" t="str">
        <f t="shared" si="13"/>
        <v>t CO2e/yr</v>
      </c>
      <c r="H46" s="423" t="e">
        <f t="shared" ca="1" si="14"/>
        <v>#DIV/0!</v>
      </c>
    </row>
    <row r="47" spans="2:8" s="276" customFormat="1" x14ac:dyDescent="0.2">
      <c r="B47" s="503" t="str">
        <f t="shared" si="11"/>
        <v>Pumping of industrial wastewater</v>
      </c>
      <c r="C47" s="405">
        <f t="shared" si="11"/>
        <v>0</v>
      </c>
      <c r="D47" s="445" t="str">
        <f t="shared" si="11"/>
        <v>GWh/yr</v>
      </c>
      <c r="E47" s="444" t="e">
        <f t="shared" ca="1" si="12"/>
        <v>#DIV/0!</v>
      </c>
      <c r="F47" s="455">
        <f t="shared" ca="1" si="13"/>
        <v>0</v>
      </c>
      <c r="G47" s="406" t="str">
        <f t="shared" si="13"/>
        <v>t CO2e/yr</v>
      </c>
      <c r="H47" s="423" t="e">
        <f t="shared" ca="1" si="14"/>
        <v>#DIV/0!</v>
      </c>
    </row>
    <row r="48" spans="2:8" s="276" customFormat="1" ht="13.5" thickBot="1" x14ac:dyDescent="0.25">
      <c r="B48" s="507" t="s">
        <v>740</v>
      </c>
      <c r="C48" s="446">
        <f ca="1">(C22+C23+C24+C25)-C28</f>
        <v>0</v>
      </c>
      <c r="D48" s="447" t="str">
        <f>D15</f>
        <v>GWh/yr</v>
      </c>
      <c r="E48" s="448" t="e">
        <f t="shared" ca="1" si="12"/>
        <v>#DIV/0!</v>
      </c>
      <c r="F48" s="456">
        <f ca="1">IF('Front Sheet'!E58&gt;0,(((C48*1000000*$D$5/1000)*(1-'Front Sheet'!E58))*VLOOKUP(n_CarbonUnits,a_ReptUnitsCarbon,2,FALSE)),(C48*1000000*$D$5/1000)*VLOOKUP(n_CarbonUnits,a_ReptUnitsCarbon,2,FALSE))</f>
        <v>0</v>
      </c>
      <c r="G48" s="428" t="str">
        <f>G21</f>
        <v>t CO2e/yr</v>
      </c>
      <c r="H48" s="429" t="e">
        <f ca="1">F48/($F$26)</f>
        <v>#DIV/0!</v>
      </c>
    </row>
    <row r="49" spans="2:8" s="215" customFormat="1" x14ac:dyDescent="0.2">
      <c r="B49" s="322" t="s">
        <v>476</v>
      </c>
      <c r="C49" s="430">
        <f ca="1">SUM(C45:C48)</f>
        <v>0</v>
      </c>
      <c r="D49" s="431">
        <f>D35</f>
        <v>0</v>
      </c>
      <c r="E49" s="432"/>
      <c r="F49" s="457">
        <f ca="1">SUM(F45:F48)</f>
        <v>0</v>
      </c>
      <c r="G49" s="431">
        <f>G35</f>
        <v>0</v>
      </c>
      <c r="H49" s="439"/>
    </row>
    <row r="50" spans="2:8" x14ac:dyDescent="0.2"/>
    <row r="51" spans="2:8" s="122" customFormat="1" ht="15.75" thickBot="1" x14ac:dyDescent="0.3">
      <c r="B51" s="508" t="s">
        <v>739</v>
      </c>
      <c r="C51" s="449" t="s">
        <v>477</v>
      </c>
      <c r="D51" s="412" t="s">
        <v>370</v>
      </c>
      <c r="E51" s="442" t="s">
        <v>494</v>
      </c>
      <c r="F51" s="450" t="s">
        <v>552</v>
      </c>
      <c r="G51" s="412" t="s">
        <v>43</v>
      </c>
      <c r="H51" s="442" t="s">
        <v>494</v>
      </c>
    </row>
    <row r="52" spans="2:8" s="122" customFormat="1" ht="15" x14ac:dyDescent="0.2">
      <c r="B52" s="509" t="str">
        <f>B8</f>
        <v>Heating Domestic Hot Water (DHW)</v>
      </c>
      <c r="C52" s="453">
        <f t="shared" ref="C52:G52" ca="1" si="15">C8</f>
        <v>0</v>
      </c>
      <c r="D52" s="451" t="str">
        <f t="shared" si="15"/>
        <v>GWh/yr</v>
      </c>
      <c r="E52" s="444" t="e">
        <f ca="1">C52/($C$57)</f>
        <v>#DIV/0!</v>
      </c>
      <c r="F52" s="454">
        <f t="shared" ca="1" si="15"/>
        <v>0</v>
      </c>
      <c r="G52" s="452" t="str">
        <f t="shared" si="15"/>
        <v>t CO2e/yr</v>
      </c>
      <c r="H52" s="423" t="e">
        <f ca="1">F52/($F$57)</f>
        <v>#DIV/0!</v>
      </c>
    </row>
    <row r="53" spans="2:8" s="276" customFormat="1" x14ac:dyDescent="0.2">
      <c r="B53" s="503" t="str">
        <f t="shared" ref="B53:D55" si="16">B19</f>
        <v>Abstraction, treatment and pumping of potable water to households</v>
      </c>
      <c r="C53" s="405">
        <f t="shared" ca="1" si="16"/>
        <v>0</v>
      </c>
      <c r="D53" s="445" t="str">
        <f t="shared" si="16"/>
        <v>GWh/yr</v>
      </c>
      <c r="E53" s="444" t="e">
        <f ca="1">C53/($C$57)</f>
        <v>#DIV/0!</v>
      </c>
      <c r="F53" s="455">
        <f t="shared" ref="F53:G55" ca="1" si="17">F19</f>
        <v>0</v>
      </c>
      <c r="G53" s="406" t="str">
        <f t="shared" si="17"/>
        <v>t CO2e/yr</v>
      </c>
      <c r="H53" s="423" t="e">
        <f ca="1">F53/($F$57)</f>
        <v>#DIV/0!</v>
      </c>
    </row>
    <row r="54" spans="2:8" s="276" customFormat="1" x14ac:dyDescent="0.2">
      <c r="B54" s="503" t="str">
        <f t="shared" si="16"/>
        <v>Abstraction, treatment and pumping of potable water lost through leakage</v>
      </c>
      <c r="C54" s="405">
        <f t="shared" ca="1" si="16"/>
        <v>0</v>
      </c>
      <c r="D54" s="445" t="str">
        <f t="shared" si="16"/>
        <v>GWh/yr</v>
      </c>
      <c r="E54" s="444" t="e">
        <f ca="1">C54/($C$57)</f>
        <v>#DIV/0!</v>
      </c>
      <c r="F54" s="455">
        <f t="shared" ca="1" si="17"/>
        <v>0</v>
      </c>
      <c r="G54" s="406" t="str">
        <f t="shared" si="17"/>
        <v>t CO2e/yr</v>
      </c>
      <c r="H54" s="423" t="e">
        <f ca="1">F54/($F$57)</f>
        <v>#DIV/0!</v>
      </c>
    </row>
    <row r="55" spans="2:8" s="276" customFormat="1" x14ac:dyDescent="0.2">
      <c r="B55" s="503" t="str">
        <f t="shared" si="16"/>
        <v>Pumping of rainwater received by combined sewers</v>
      </c>
      <c r="C55" s="405">
        <f t="shared" ca="1" si="16"/>
        <v>0</v>
      </c>
      <c r="D55" s="445" t="str">
        <f t="shared" si="16"/>
        <v>GWh/yr</v>
      </c>
      <c r="E55" s="444" t="e">
        <f ca="1">C55/($C$57)</f>
        <v>#DIV/0!</v>
      </c>
      <c r="F55" s="455">
        <f t="shared" ca="1" si="17"/>
        <v>0</v>
      </c>
      <c r="G55" s="406" t="str">
        <f t="shared" si="17"/>
        <v>t CO2e/yr</v>
      </c>
      <c r="H55" s="423" t="e">
        <f ca="1">F55/($F$57)</f>
        <v>#DIV/0!</v>
      </c>
    </row>
    <row r="56" spans="2:8" s="276" customFormat="1" ht="13.5" thickBot="1" x14ac:dyDescent="0.25">
      <c r="B56" s="507" t="s">
        <v>740</v>
      </c>
      <c r="C56" s="446">
        <f ca="1">(C22+C23+C24+C25)-C28</f>
        <v>0</v>
      </c>
      <c r="D56" s="447" t="str">
        <f>D22</f>
        <v>GWh/yr</v>
      </c>
      <c r="E56" s="448" t="e">
        <f ca="1">C56/($C$57)</f>
        <v>#DIV/0!</v>
      </c>
      <c r="F56" s="456">
        <f ca="1">F48</f>
        <v>0</v>
      </c>
      <c r="G56" s="428" t="str">
        <f>G28</f>
        <v>t CO2e/yr</v>
      </c>
      <c r="H56" s="429" t="e">
        <f ca="1">F56/($F$57)</f>
        <v>#DIV/0!</v>
      </c>
    </row>
    <row r="57" spans="2:8" s="215" customFormat="1" x14ac:dyDescent="0.2">
      <c r="B57" s="322" t="s">
        <v>476</v>
      </c>
      <c r="C57" s="430">
        <f ca="1">SUM(C52:C56)</f>
        <v>0</v>
      </c>
      <c r="D57" s="431"/>
      <c r="E57" s="432"/>
      <c r="F57" s="457">
        <f ca="1">SUM(F52:F56)</f>
        <v>0</v>
      </c>
      <c r="G57" s="431"/>
      <c r="H57" s="439"/>
    </row>
    <row r="58" spans="2:8" x14ac:dyDescent="0.2"/>
    <row r="59" spans="2:8" x14ac:dyDescent="0.2"/>
    <row r="60" spans="2:8" x14ac:dyDescent="0.2"/>
    <row r="61" spans="2:8" x14ac:dyDescent="0.2"/>
    <row r="62" spans="2:8" x14ac:dyDescent="0.2"/>
    <row r="63" spans="2:8" x14ac:dyDescent="0.2"/>
    <row r="64" spans="2:8" hidden="1" x14ac:dyDescent="0.2"/>
  </sheetData>
  <sheetProtection algorithmName="SHA-512" hashValue="QPJ/fn4PSwllnSULtsI4J7CuyssKg4Q+5bFOx3Sd5Ux/aoeVSrDEjqcpjqsW6+WIenglXAP3AGTAtjEYXALLWA==" saltValue="Vv0XAdrosTMUIgTRcZPSXA==" spinCount="100000" sheet="1" objects="1" scenarios="1" formatCells="0" formatColumns="0" formatRows="0" insertColumns="0" insertRows="0" insertHyperlinks="0"/>
  <mergeCells count="1">
    <mergeCell ref="B3:E3"/>
  </mergeCells>
  <conditionalFormatting sqref="A1">
    <cfRule type="containsText" dxfId="13" priority="20" stopIfTrue="1" operator="containsText" text="Err">
      <formula>NOT(ISERROR(SEARCH("Err",A1)))</formula>
    </cfRule>
  </conditionalFormatting>
  <conditionalFormatting sqref="E8:E15">
    <cfRule type="dataBar" priority="24">
      <dataBar>
        <cfvo type="min"/>
        <cfvo type="max"/>
        <color rgb="FFFFB628"/>
      </dataBar>
      <extLst>
        <ext xmlns:x14="http://schemas.microsoft.com/office/spreadsheetml/2009/9/main" uri="{B025F937-C7B1-47D3-B67F-A62EFF666E3E}">
          <x14:id>{ADC6E57B-80F6-4D7A-9B09-4B18AC672C2A}</x14:id>
        </ext>
      </extLst>
    </cfRule>
  </conditionalFormatting>
  <conditionalFormatting sqref="H8:H15">
    <cfRule type="dataBar" priority="26">
      <dataBar>
        <cfvo type="min"/>
        <cfvo type="max"/>
        <color rgb="FF63C384"/>
      </dataBar>
      <extLst>
        <ext xmlns:x14="http://schemas.microsoft.com/office/spreadsheetml/2009/9/main" uri="{B025F937-C7B1-47D3-B67F-A62EFF666E3E}">
          <x14:id>{292CA897-3A62-4DA2-BD16-C1CE8BA007B1}</x14:id>
        </ext>
      </extLst>
    </cfRule>
  </conditionalFormatting>
  <conditionalFormatting sqref="E19:E25">
    <cfRule type="dataBar" priority="30">
      <dataBar>
        <cfvo type="min"/>
        <cfvo type="max"/>
        <color rgb="FFFFB628"/>
      </dataBar>
      <extLst>
        <ext xmlns:x14="http://schemas.microsoft.com/office/spreadsheetml/2009/9/main" uri="{B025F937-C7B1-47D3-B67F-A62EFF666E3E}">
          <x14:id>{390AE8B0-FF73-4044-8CD9-EAEB9D4687A8}</x14:id>
        </ext>
      </extLst>
    </cfRule>
  </conditionalFormatting>
  <conditionalFormatting sqref="H19:H25">
    <cfRule type="dataBar" priority="32">
      <dataBar>
        <cfvo type="min"/>
        <cfvo type="max"/>
        <color rgb="FF63C384"/>
      </dataBar>
      <extLst>
        <ext xmlns:x14="http://schemas.microsoft.com/office/spreadsheetml/2009/9/main" uri="{B025F937-C7B1-47D3-B67F-A62EFF666E3E}">
          <x14:id>{AF8D0C4E-8691-48C7-B1B3-3B41DEE11281}</x14:id>
        </ext>
      </extLst>
    </cfRule>
  </conditionalFormatting>
  <conditionalFormatting sqref="E52:E56">
    <cfRule type="dataBar" priority="33">
      <dataBar>
        <cfvo type="min"/>
        <cfvo type="max"/>
        <color rgb="FFFFB628"/>
      </dataBar>
      <extLst>
        <ext xmlns:x14="http://schemas.microsoft.com/office/spreadsheetml/2009/9/main" uri="{B025F937-C7B1-47D3-B67F-A62EFF666E3E}">
          <x14:id>{89EBA507-049F-4668-A3E7-10F89E91FC4B}</x14:id>
        </ext>
      </extLst>
    </cfRule>
  </conditionalFormatting>
  <conditionalFormatting sqref="H52:H56">
    <cfRule type="dataBar" priority="34">
      <dataBar>
        <cfvo type="min"/>
        <cfvo type="max"/>
        <color rgb="FF63C384"/>
      </dataBar>
      <extLst>
        <ext xmlns:x14="http://schemas.microsoft.com/office/spreadsheetml/2009/9/main" uri="{B025F937-C7B1-47D3-B67F-A62EFF666E3E}">
          <x14:id>{3A819309-2B11-45BC-A662-5C2E23633A57}</x14:id>
        </ext>
      </extLst>
    </cfRule>
  </conditionalFormatting>
  <conditionalFormatting sqref="E45:E48">
    <cfRule type="dataBar" priority="1">
      <dataBar>
        <cfvo type="min"/>
        <cfvo type="max"/>
        <color rgb="FFFFB628"/>
      </dataBar>
      <extLst>
        <ext xmlns:x14="http://schemas.microsoft.com/office/spreadsheetml/2009/9/main" uri="{B025F937-C7B1-47D3-B67F-A62EFF666E3E}">
          <x14:id>{7591B889-A568-4220-9844-76084458236C}</x14:id>
        </ext>
      </extLst>
    </cfRule>
  </conditionalFormatting>
  <conditionalFormatting sqref="H45:H48">
    <cfRule type="dataBar" priority="2">
      <dataBar>
        <cfvo type="min"/>
        <cfvo type="max"/>
        <color rgb="FF63C384"/>
      </dataBar>
      <extLst>
        <ext xmlns:x14="http://schemas.microsoft.com/office/spreadsheetml/2009/9/main" uri="{B025F937-C7B1-47D3-B67F-A62EFF666E3E}">
          <x14:id>{FF48E314-3E65-4B1E-ADA5-BDE38FE50406}</x14:id>
        </ext>
      </extLst>
    </cfRule>
  </conditionalFormatting>
  <dataValidations count="1">
    <dataValidation type="list" allowBlank="1" showInputMessage="1" showErrorMessage="1" sqref="A1">
      <formula1>l_OKErr</formula1>
    </dataValidation>
  </dataValidations>
  <pageMargins left="0.7" right="0.7" top="0.75" bottom="0.75" header="0.3" footer="0.3"/>
  <pageSetup paperSize="9" orientation="landscape" horizontalDpi="4294967293" verticalDpi="4294967293" r:id="rId1"/>
  <extLst>
    <ext xmlns:x14="http://schemas.microsoft.com/office/spreadsheetml/2009/9/main" uri="{78C0D931-6437-407d-A8EE-F0AAD7539E65}">
      <x14:conditionalFormattings>
        <x14:conditionalFormatting xmlns:xm="http://schemas.microsoft.com/office/excel/2006/main">
          <x14:cfRule type="dataBar" id="{ADC6E57B-80F6-4D7A-9B09-4B18AC672C2A}">
            <x14:dataBar minLength="0" maxLength="100" border="1" negativeBarBorderColorSameAsPositive="0">
              <x14:cfvo type="autoMin"/>
              <x14:cfvo type="autoMax"/>
              <x14:borderColor rgb="FFFFB628"/>
              <x14:negativeFillColor rgb="FFFF0000"/>
              <x14:negativeBorderColor rgb="FFFF0000"/>
              <x14:axisColor rgb="FF000000"/>
            </x14:dataBar>
          </x14:cfRule>
          <xm:sqref>E8:E15</xm:sqref>
        </x14:conditionalFormatting>
        <x14:conditionalFormatting xmlns:xm="http://schemas.microsoft.com/office/excel/2006/main">
          <x14:cfRule type="dataBar" id="{292CA897-3A62-4DA2-BD16-C1CE8BA007B1}">
            <x14:dataBar minLength="0" maxLength="100" border="1" negativeBarBorderColorSameAsPositive="0">
              <x14:cfvo type="autoMin"/>
              <x14:cfvo type="autoMax"/>
              <x14:borderColor rgb="FF63C384"/>
              <x14:negativeFillColor rgb="FFFF0000"/>
              <x14:negativeBorderColor rgb="FFFF0000"/>
              <x14:axisColor rgb="FF000000"/>
            </x14:dataBar>
          </x14:cfRule>
          <xm:sqref>H8:H15</xm:sqref>
        </x14:conditionalFormatting>
        <x14:conditionalFormatting xmlns:xm="http://schemas.microsoft.com/office/excel/2006/main">
          <x14:cfRule type="dataBar" id="{390AE8B0-FF73-4044-8CD9-EAEB9D4687A8}">
            <x14:dataBar minLength="0" maxLength="100" border="1" negativeBarBorderColorSameAsPositive="0">
              <x14:cfvo type="autoMin"/>
              <x14:cfvo type="autoMax"/>
              <x14:borderColor rgb="FFFFB628"/>
              <x14:negativeFillColor rgb="FFFF0000"/>
              <x14:negativeBorderColor rgb="FFFF0000"/>
              <x14:axisColor rgb="FF000000"/>
            </x14:dataBar>
          </x14:cfRule>
          <xm:sqref>E19:E25</xm:sqref>
        </x14:conditionalFormatting>
        <x14:conditionalFormatting xmlns:xm="http://schemas.microsoft.com/office/excel/2006/main">
          <x14:cfRule type="dataBar" id="{AF8D0C4E-8691-48C7-B1B3-3B41DEE11281}">
            <x14:dataBar minLength="0" maxLength="100" border="1" negativeBarBorderColorSameAsPositive="0">
              <x14:cfvo type="autoMin"/>
              <x14:cfvo type="autoMax"/>
              <x14:borderColor rgb="FF63C384"/>
              <x14:negativeFillColor rgb="FFFF0000"/>
              <x14:negativeBorderColor rgb="FFFF0000"/>
              <x14:axisColor rgb="FF000000"/>
            </x14:dataBar>
          </x14:cfRule>
          <xm:sqref>H19:H25</xm:sqref>
        </x14:conditionalFormatting>
        <x14:conditionalFormatting xmlns:xm="http://schemas.microsoft.com/office/excel/2006/main">
          <x14:cfRule type="dataBar" id="{89EBA507-049F-4668-A3E7-10F89E91FC4B}">
            <x14:dataBar minLength="0" maxLength="100" border="1" negativeBarBorderColorSameAsPositive="0">
              <x14:cfvo type="autoMin"/>
              <x14:cfvo type="autoMax"/>
              <x14:borderColor rgb="FFFFB628"/>
              <x14:negativeFillColor rgb="FFFF0000"/>
              <x14:negativeBorderColor rgb="FFFF0000"/>
              <x14:axisColor rgb="FF000000"/>
            </x14:dataBar>
          </x14:cfRule>
          <xm:sqref>E52:E56</xm:sqref>
        </x14:conditionalFormatting>
        <x14:conditionalFormatting xmlns:xm="http://schemas.microsoft.com/office/excel/2006/main">
          <x14:cfRule type="dataBar" id="{3A819309-2B11-45BC-A662-5C2E23633A57}">
            <x14:dataBar minLength="0" maxLength="100" border="1" negativeBarBorderColorSameAsPositive="0">
              <x14:cfvo type="autoMin"/>
              <x14:cfvo type="autoMax"/>
              <x14:borderColor rgb="FF63C384"/>
              <x14:negativeFillColor rgb="FFFF0000"/>
              <x14:negativeBorderColor rgb="FFFF0000"/>
              <x14:axisColor rgb="FF000000"/>
            </x14:dataBar>
          </x14:cfRule>
          <xm:sqref>H52:H56</xm:sqref>
        </x14:conditionalFormatting>
        <x14:conditionalFormatting xmlns:xm="http://schemas.microsoft.com/office/excel/2006/main">
          <x14:cfRule type="dataBar" id="{7591B889-A568-4220-9844-76084458236C}">
            <x14:dataBar minLength="0" maxLength="100" border="1" negativeBarBorderColorSameAsPositive="0">
              <x14:cfvo type="autoMin"/>
              <x14:cfvo type="autoMax"/>
              <x14:borderColor rgb="FFFFB628"/>
              <x14:negativeFillColor rgb="FFFF0000"/>
              <x14:negativeBorderColor rgb="FFFF0000"/>
              <x14:axisColor rgb="FF000000"/>
            </x14:dataBar>
          </x14:cfRule>
          <xm:sqref>E45:E48</xm:sqref>
        </x14:conditionalFormatting>
        <x14:conditionalFormatting xmlns:xm="http://schemas.microsoft.com/office/excel/2006/main">
          <x14:cfRule type="dataBar" id="{FF48E314-3E65-4B1E-ADA5-BDE38FE50406}">
            <x14:dataBar minLength="0" maxLength="100" border="1" negativeBarBorderColorSameAsPositive="0">
              <x14:cfvo type="autoMin"/>
              <x14:cfvo type="autoMax"/>
              <x14:borderColor rgb="FF63C384"/>
              <x14:negativeFillColor rgb="FFFF0000"/>
              <x14:negativeBorderColor rgb="FFFF0000"/>
              <x14:axisColor rgb="FF000000"/>
            </x14:dataBar>
          </x14:cfRule>
          <xm:sqref>H45:H48</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tabColor theme="1"/>
  </sheetPr>
  <dimension ref="A1:I14"/>
  <sheetViews>
    <sheetView workbookViewId="0"/>
  </sheetViews>
  <sheetFormatPr defaultColWidth="9.140625" defaultRowHeight="14.25" x14ac:dyDescent="0.2"/>
  <cols>
    <col min="1" max="16384" width="9.140625" style="17"/>
  </cols>
  <sheetData>
    <row r="1" spans="1:9" x14ac:dyDescent="0.2">
      <c r="A1" s="76" t="s">
        <v>2</v>
      </c>
      <c r="B1" s="12"/>
      <c r="C1" s="12"/>
      <c r="D1" s="12"/>
      <c r="E1" s="12"/>
      <c r="F1" s="12"/>
      <c r="G1" s="12"/>
    </row>
    <row r="2" spans="1:9" x14ac:dyDescent="0.2">
      <c r="A2" s="12" t="s">
        <v>374</v>
      </c>
      <c r="B2" s="12" t="s">
        <v>371</v>
      </c>
      <c r="C2" s="12"/>
      <c r="D2" s="12" t="b">
        <v>0</v>
      </c>
      <c r="E2" s="12"/>
      <c r="F2" s="12"/>
      <c r="G2" s="12"/>
      <c r="H2" s="12"/>
      <c r="I2" s="12"/>
    </row>
    <row r="3" spans="1:9" ht="15" x14ac:dyDescent="0.25">
      <c r="A3" s="12"/>
      <c r="B3" s="11" t="s">
        <v>6</v>
      </c>
      <c r="C3" s="11"/>
      <c r="D3" s="12"/>
      <c r="E3" s="12"/>
      <c r="F3" s="12"/>
      <c r="G3" s="12"/>
      <c r="H3" s="12"/>
      <c r="I3" s="12"/>
    </row>
    <row r="4" spans="1:9" ht="15" x14ac:dyDescent="0.25">
      <c r="A4" s="12"/>
      <c r="B4" s="11" t="s">
        <v>7</v>
      </c>
      <c r="C4" s="11"/>
      <c r="D4" s="12"/>
      <c r="E4" s="12"/>
      <c r="F4" s="12"/>
      <c r="G4" s="12"/>
      <c r="H4" s="12"/>
      <c r="I4" s="12"/>
    </row>
    <row r="5" spans="1:9" ht="15" x14ac:dyDescent="0.25">
      <c r="A5" s="12"/>
      <c r="B5" s="13" t="s">
        <v>8</v>
      </c>
      <c r="E5" s="12"/>
      <c r="F5" s="12"/>
      <c r="G5" s="12"/>
      <c r="H5" s="12"/>
      <c r="I5" s="12"/>
    </row>
    <row r="6" spans="1:9" x14ac:dyDescent="0.2">
      <c r="A6" s="12"/>
      <c r="B6" s="14"/>
      <c r="C6" s="15"/>
      <c r="D6" s="12"/>
      <c r="E6" s="12"/>
      <c r="F6" s="12"/>
      <c r="G6" s="12"/>
      <c r="H6" s="12"/>
      <c r="I6" s="12"/>
    </row>
    <row r="7" spans="1:9" x14ac:dyDescent="0.2">
      <c r="A7" s="12"/>
      <c r="B7" s="16" t="s">
        <v>487</v>
      </c>
      <c r="C7" s="12"/>
      <c r="D7" s="12"/>
      <c r="E7" s="12"/>
      <c r="F7" s="12"/>
      <c r="G7" s="12"/>
      <c r="H7" s="12"/>
      <c r="I7" s="12"/>
    </row>
    <row r="8" spans="1:9" x14ac:dyDescent="0.2">
      <c r="A8" s="12"/>
      <c r="B8" s="16" t="s">
        <v>499</v>
      </c>
      <c r="C8" s="12"/>
      <c r="D8" s="12"/>
      <c r="E8" s="12"/>
      <c r="F8" s="12"/>
      <c r="G8" s="12"/>
      <c r="H8" s="12"/>
      <c r="I8" s="12"/>
    </row>
    <row r="9" spans="1:9" x14ac:dyDescent="0.2">
      <c r="A9" s="12"/>
      <c r="B9" s="16" t="s">
        <v>500</v>
      </c>
      <c r="C9" s="12"/>
      <c r="D9" s="12"/>
      <c r="E9" s="12"/>
      <c r="F9" s="12"/>
      <c r="G9" s="12"/>
      <c r="H9" s="12"/>
      <c r="I9" s="12"/>
    </row>
    <row r="10" spans="1:9" x14ac:dyDescent="0.2">
      <c r="A10" s="12"/>
      <c r="B10" s="16" t="s">
        <v>526</v>
      </c>
      <c r="C10" s="12"/>
      <c r="D10" s="12"/>
      <c r="E10" s="12"/>
      <c r="F10" s="12"/>
      <c r="G10" s="12"/>
      <c r="H10" s="12"/>
      <c r="I10" s="12"/>
    </row>
    <row r="11" spans="1:9" x14ac:dyDescent="0.2">
      <c r="A11" s="12"/>
      <c r="B11" s="16"/>
      <c r="C11" s="12"/>
      <c r="D11" s="12"/>
      <c r="E11" s="12"/>
      <c r="F11" s="12"/>
      <c r="G11" s="12"/>
      <c r="H11" s="12"/>
      <c r="I11" s="12"/>
    </row>
    <row r="12" spans="1:9" x14ac:dyDescent="0.2">
      <c r="A12" s="12"/>
      <c r="B12" s="16"/>
      <c r="C12" s="12"/>
      <c r="D12" s="12"/>
      <c r="E12" s="12"/>
      <c r="F12" s="12"/>
      <c r="G12" s="12"/>
      <c r="H12" s="12"/>
      <c r="I12" s="12"/>
    </row>
    <row r="13" spans="1:9" x14ac:dyDescent="0.2">
      <c r="A13" s="12"/>
      <c r="B13" s="16"/>
      <c r="C13" s="12"/>
      <c r="D13" s="12"/>
      <c r="E13" s="12"/>
      <c r="F13" s="12"/>
      <c r="G13" s="12"/>
      <c r="H13" s="12"/>
      <c r="I13" s="12"/>
    </row>
    <row r="14" spans="1:9" x14ac:dyDescent="0.2">
      <c r="A14" s="12"/>
      <c r="B14" s="16"/>
      <c r="C14" s="12"/>
      <c r="D14" s="12"/>
      <c r="E14" s="12"/>
      <c r="F14" s="12"/>
      <c r="G14" s="12"/>
      <c r="H14" s="12"/>
      <c r="I14" s="12"/>
    </row>
  </sheetData>
  <sheetProtection algorithmName="SHA-512" hashValue="JvjvzWKksc/xIQjiDCOKO3QoPRSKeZd5hWQV0wToEUzyXZ3P+SphsKg6nD0cQNAVSZd08LjAkyUFXLwC2dD8Sg==" saltValue="L6MxznPcR4/CdNYdB7uLpA==" spinCount="100000" sheet="1" objects="1" scenarios="1" formatColumns="0" formatRows="0" autoFilter="0"/>
  <conditionalFormatting sqref="A1">
    <cfRule type="containsText" dxfId="12" priority="1" stopIfTrue="1" operator="containsText" text="Err">
      <formula>NOT(ISERROR(SEARCH("Err",A1)))</formula>
    </cfRule>
  </conditionalFormatting>
  <dataValidations count="1">
    <dataValidation type="list" allowBlank="1" showInputMessage="1" showErrorMessage="1" sqref="A1">
      <formula1>l_OKErr</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9025" r:id="rId4" name="Button 1">
              <controlPr defaultSize="0" print="0" autoFill="0" autoPict="0" macro="[0]!ShowButton">
                <anchor moveWithCells="1" sizeWithCells="1">
                  <from>
                    <xdr:col>3</xdr:col>
                    <xdr:colOff>0</xdr:colOff>
                    <xdr:row>2</xdr:row>
                    <xdr:rowOff>0</xdr:rowOff>
                  </from>
                  <to>
                    <xdr:col>4</xdr:col>
                    <xdr:colOff>0</xdr:colOff>
                    <xdr:row>3</xdr:row>
                    <xdr:rowOff>0</xdr:rowOff>
                  </to>
                </anchor>
              </controlPr>
            </control>
          </mc:Choice>
        </mc:AlternateContent>
        <mc:AlternateContent xmlns:mc="http://schemas.openxmlformats.org/markup-compatibility/2006">
          <mc:Choice Requires="x14">
            <control shapeId="129026" r:id="rId5" name="Button 2">
              <controlPr defaultSize="0" print="0" autoFill="0" autoPict="0" macro="[0]!HideButton">
                <anchor moveWithCells="1" sizeWithCells="1">
                  <from>
                    <xdr:col>3</xdr:col>
                    <xdr:colOff>0</xdr:colOff>
                    <xdr:row>3</xdr:row>
                    <xdr:rowOff>0</xdr:rowOff>
                  </from>
                  <to>
                    <xdr:col>4</xdr:col>
                    <xdr:colOff>0</xdr:colOff>
                    <xdr:row>4</xdr:row>
                    <xdr:rowOff>0</xdr:rowOff>
                  </to>
                </anchor>
              </controlPr>
            </control>
          </mc:Choice>
        </mc:AlternateContent>
        <mc:AlternateContent xmlns:mc="http://schemas.openxmlformats.org/markup-compatibility/2006">
          <mc:Choice Requires="x14">
            <control shapeId="129027" r:id="rId6" name="Button 3">
              <controlPr defaultSize="0" print="0" autoFill="0" autoPict="0" macro="[0]!GotoButton">
                <anchor moveWithCells="1" sizeWithCells="1">
                  <from>
                    <xdr:col>3</xdr:col>
                    <xdr:colOff>0</xdr:colOff>
                    <xdr:row>4</xdr:row>
                    <xdr:rowOff>0</xdr:rowOff>
                  </from>
                  <to>
                    <xdr:col>4</xdr:col>
                    <xdr:colOff>0</xdr:colOff>
                    <xdr:row>5</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theme="7"/>
    <outlinePr summaryBelow="0" summaryRight="0"/>
  </sheetPr>
  <dimension ref="A1:H125"/>
  <sheetViews>
    <sheetView showZeros="0" topLeftCell="D8" zoomScale="115" zoomScaleNormal="115" workbookViewId="0">
      <selection activeCell="E101" sqref="E101"/>
    </sheetView>
  </sheetViews>
  <sheetFormatPr defaultColWidth="9.140625" defaultRowHeight="12.75" x14ac:dyDescent="0.2"/>
  <cols>
    <col min="1" max="1" width="3" style="125" customWidth="1"/>
    <col min="2" max="2" width="67.28515625" style="120" customWidth="1"/>
    <col min="3" max="3" width="20.7109375" style="120" customWidth="1"/>
    <col min="4" max="4" width="13.5703125" style="120" bestFit="1" customWidth="1"/>
    <col min="5" max="5" width="78.42578125" style="125" customWidth="1"/>
    <col min="6" max="6" width="53.28515625" customWidth="1"/>
    <col min="7" max="7" width="9.140625" customWidth="1"/>
    <col min="8" max="16384" width="9.140625" style="120"/>
  </cols>
  <sheetData>
    <row r="1" spans="1:8" ht="15.75" x14ac:dyDescent="0.2">
      <c r="A1" s="479" t="s">
        <v>2</v>
      </c>
      <c r="B1" s="480" t="s">
        <v>407</v>
      </c>
      <c r="C1" s="61"/>
      <c r="D1" s="61"/>
      <c r="E1" s="172"/>
    </row>
    <row r="2" spans="1:8" x14ac:dyDescent="0.2">
      <c r="A2" s="481"/>
      <c r="B2" s="482" t="s">
        <v>497</v>
      </c>
    </row>
    <row r="3" spans="1:8" x14ac:dyDescent="0.2">
      <c r="A3" s="481"/>
      <c r="B3" s="482" t="s">
        <v>532</v>
      </c>
    </row>
    <row r="4" spans="1:8" ht="15.75" x14ac:dyDescent="0.2">
      <c r="A4" s="481"/>
      <c r="B4" s="480" t="s">
        <v>485</v>
      </c>
    </row>
    <row r="5" spans="1:8" ht="15" x14ac:dyDescent="0.2">
      <c r="A5" s="481"/>
      <c r="B5" s="483" t="s">
        <v>486</v>
      </c>
      <c r="F5" s="155" t="s">
        <v>580</v>
      </c>
      <c r="G5" s="564" t="str">
        <f>n_Country</f>
        <v>UK</v>
      </c>
      <c r="H5" s="564"/>
    </row>
    <row r="6" spans="1:8" ht="15" x14ac:dyDescent="0.2">
      <c r="A6" s="481"/>
      <c r="B6" s="484" t="s">
        <v>436</v>
      </c>
      <c r="C6" s="142" t="s">
        <v>737</v>
      </c>
      <c r="D6" s="122" t="s">
        <v>370</v>
      </c>
      <c r="E6" s="155" t="s">
        <v>436</v>
      </c>
      <c r="F6" s="122" t="s">
        <v>576</v>
      </c>
      <c r="G6" s="122" t="s">
        <v>370</v>
      </c>
      <c r="H6" s="222" t="s">
        <v>408</v>
      </c>
    </row>
    <row r="7" spans="1:8" x14ac:dyDescent="0.2">
      <c r="A7" s="481"/>
      <c r="B7" s="485" t="str">
        <f>'Front Sheet'!B38</f>
        <v>Average temperature of water entering households</v>
      </c>
      <c r="C7" s="152">
        <f>'Front Sheet'!E38</f>
        <v>12</v>
      </c>
      <c r="D7" s="152" t="str">
        <f>'Front Sheet'!F38</f>
        <v>C</v>
      </c>
      <c r="E7" s="223" t="str">
        <f t="array" ref="E7:H22">TRANSPOSE('Country-Specific Data'!D9:U12)</f>
        <v>COD</v>
      </c>
      <c r="F7" s="128">
        <v>0</v>
      </c>
      <c r="G7" s="126" t="str">
        <v>kWh/kg</v>
      </c>
      <c r="H7" s="152">
        <f ca="1"/>
        <v>1.1691666666666667</v>
      </c>
    </row>
    <row r="8" spans="1:8" x14ac:dyDescent="0.2">
      <c r="A8" s="481"/>
      <c r="B8" s="485" t="str">
        <f>'Front Sheet'!B39</f>
        <v>Average temperature of hot water leaving the tap in households</v>
      </c>
      <c r="C8" s="152">
        <f>'Front Sheet'!E39</f>
        <v>52</v>
      </c>
      <c r="D8" s="152" t="str">
        <f>'Front Sheet'!F39</f>
        <v>C</v>
      </c>
      <c r="E8" s="223" t="str">
        <v>WWTP for EU</v>
      </c>
      <c r="F8" s="128" t="str">
        <v>mean</v>
      </c>
      <c r="G8" s="126" t="str">
        <v>kWh/m3</v>
      </c>
      <c r="H8" s="152">
        <f ca="1"/>
        <v>0.504</v>
      </c>
    </row>
    <row r="9" spans="1:8" x14ac:dyDescent="0.2">
      <c r="A9" s="481"/>
      <c r="B9" s="485" t="str">
        <f>'Front Sheet'!B40</f>
        <v>Volume of potable water produced (including all leakage)</v>
      </c>
      <c r="C9" s="152">
        <f>'Front Sheet'!E40</f>
        <v>225</v>
      </c>
      <c r="D9" s="152" t="str">
        <f>'Front Sheet'!F40</f>
        <v>L/person/day</v>
      </c>
      <c r="E9" s="223">
        <v>0</v>
      </c>
      <c r="F9" s="128" t="str">
        <v>Standard error derived from regression analysis</v>
      </c>
      <c r="G9" s="126" t="str">
        <v>kWh/m3</v>
      </c>
      <c r="H9" s="152">
        <f ca="1"/>
        <v>0.03</v>
      </c>
    </row>
    <row r="10" spans="1:8" x14ac:dyDescent="0.2">
      <c r="A10" s="481"/>
      <c r="B10" s="485" t="str">
        <f>'Front Sheet'!B41</f>
        <v>Number of inhabitants per household</v>
      </c>
      <c r="C10" s="152">
        <f>'Front Sheet'!E41</f>
        <v>2.2999999999999998</v>
      </c>
      <c r="D10" s="152" t="str">
        <f>'Front Sheet'!F41</f>
        <v>persons/hh</v>
      </c>
      <c r="E10" s="223" t="str">
        <v xml:space="preserve"> </v>
      </c>
      <c r="F10" s="128" t="str">
        <v xml:space="preserve"> </v>
      </c>
      <c r="G10" s="126" t="str">
        <v xml:space="preserve"> </v>
      </c>
      <c r="H10" s="152" t="str">
        <f ca="1"/>
        <v xml:space="preserve"> </v>
      </c>
    </row>
    <row r="11" spans="1:8" x14ac:dyDescent="0.2">
      <c r="A11" s="481"/>
      <c r="B11" s="485" t="str">
        <f>'Front Sheet'!B42</f>
        <v>Proportion of water not returned to sewer</v>
      </c>
      <c r="C11" s="200">
        <f>'Front Sheet'!E42</f>
        <v>7.4999999999999997E-2</v>
      </c>
      <c r="D11" s="152"/>
      <c r="E11" s="223">
        <v>0</v>
      </c>
      <c r="F11" s="128" t="str">
        <v>COD Elimination (if known)</v>
      </c>
      <c r="G11" s="126" t="str">
        <v>kWh/kgeliminatedCOD</v>
      </c>
      <c r="H11" s="152">
        <f ca="1"/>
        <v>0</v>
      </c>
    </row>
    <row r="12" spans="1:8" x14ac:dyDescent="0.2">
      <c r="A12" s="481"/>
      <c r="B12" s="485"/>
      <c r="C12" s="279"/>
      <c r="D12" s="279"/>
      <c r="E12" s="223" t="str">
        <v>WWTP for EU</v>
      </c>
      <c r="F12" s="128" t="str">
        <v>mean</v>
      </c>
      <c r="G12" s="126" t="str">
        <v>kWh/m3</v>
      </c>
      <c r="H12" s="152">
        <f ca="1"/>
        <v>0.504</v>
      </c>
    </row>
    <row r="13" spans="1:8" x14ac:dyDescent="0.2">
      <c r="A13" s="481"/>
      <c r="B13" s="485" t="str">
        <f>'Front Sheet'!B43</f>
        <v>Rainfall received by combined sewers (if present)</v>
      </c>
      <c r="C13" s="225">
        <f>'Front Sheet'!E43</f>
        <v>0</v>
      </c>
      <c r="D13" s="152" t="str">
        <f>'Front Sheet'!F43</f>
        <v>ml/person/day</v>
      </c>
      <c r="E13" s="223">
        <v>0</v>
      </c>
      <c r="F13" s="128" t="str">
        <v>Standard error derived from regression analysis</v>
      </c>
      <c r="G13" s="126" t="str">
        <v>kWh/m3</v>
      </c>
      <c r="H13" s="152">
        <f ca="1"/>
        <v>0.03</v>
      </c>
    </row>
    <row r="14" spans="1:8" x14ac:dyDescent="0.2">
      <c r="A14" s="481"/>
      <c r="B14" s="485" t="str">
        <f>'Front Sheet'!B30</f>
        <v>% of potable water leaked from the supply system prior to delivery</v>
      </c>
      <c r="C14" s="153">
        <f>'Front Sheet'!E30</f>
        <v>0.33333333333333331</v>
      </c>
      <c r="D14" s="152"/>
      <c r="E14" s="223">
        <v>0</v>
      </c>
      <c r="F14" s="128" t="str">
        <v>Pump WW within sewer</v>
      </c>
      <c r="G14" s="126" t="str">
        <v>kWh/m3</v>
      </c>
      <c r="H14" s="152">
        <f ca="1"/>
        <v>0.126</v>
      </c>
    </row>
    <row r="15" spans="1:8" x14ac:dyDescent="0.2">
      <c r="A15" s="481"/>
      <c r="B15" s="485" t="str">
        <f>'Front Sheet'!B44</f>
        <v>Volume of domestic wastewater discharged to sewer</v>
      </c>
      <c r="C15" s="152">
        <f>'Front Sheet'!E44</f>
        <v>319.12500000000006</v>
      </c>
      <c r="D15" s="152" t="str">
        <f>'Front Sheet'!F44</f>
        <v>l/day/hh</v>
      </c>
      <c r="E15" s="223">
        <v>0</v>
      </c>
      <c r="F15" s="128" t="str">
        <v>Total WW Pumping &amp; Treatment (columns I + K)</v>
      </c>
      <c r="G15" s="126" t="str">
        <v>kWh/m3</v>
      </c>
      <c r="H15" s="152">
        <f ca="1"/>
        <v>0.63</v>
      </c>
    </row>
    <row r="16" spans="1:8" x14ac:dyDescent="0.2">
      <c r="A16" s="481"/>
      <c r="B16" s="485" t="str">
        <f>'Front Sheet'!B51</f>
        <v>Average volume of industrial effluent discharged to sewer</v>
      </c>
      <c r="C16" s="461">
        <f>'Front Sheet'!E51</f>
        <v>0</v>
      </c>
      <c r="D16" s="152" t="str">
        <f>'Front Sheet'!F51</f>
        <v>m3/day</v>
      </c>
      <c r="E16" s="223">
        <v>0</v>
      </c>
      <c r="F16" s="128">
        <v>0</v>
      </c>
      <c r="G16" s="126" t="str">
        <v xml:space="preserve">  </v>
      </c>
      <c r="H16" s="152">
        <f ca="1"/>
        <v>0</v>
      </c>
    </row>
    <row r="17" spans="1:8" x14ac:dyDescent="0.2">
      <c r="A17" s="481"/>
      <c r="B17" s="485" t="str">
        <f>'Front Sheet'!B52</f>
        <v>Average industrial COD produced</v>
      </c>
      <c r="C17" s="461">
        <f>'Front Sheet'!E52</f>
        <v>0</v>
      </c>
      <c r="D17" s="152" t="str">
        <f>'Front Sheet'!F52</f>
        <v>kg/day</v>
      </c>
      <c r="E17" s="223">
        <v>0</v>
      </c>
      <c r="F17" s="128" t="str">
        <v>Pumping, distributing and treating drinking water (if known)</v>
      </c>
      <c r="G17" s="126" t="str">
        <v>kWh/m3</v>
      </c>
      <c r="H17" s="152">
        <f ca="1"/>
        <v>0.59</v>
      </c>
    </row>
    <row r="18" spans="1:8" x14ac:dyDescent="0.2">
      <c r="A18" s="481"/>
      <c r="B18" s="485" t="str">
        <f>'Front Sheet'!B45</f>
        <v>Average volume of Domestic Hot Water (DHW) consumed</v>
      </c>
      <c r="C18" s="152">
        <f>'Front Sheet'!E45</f>
        <v>122</v>
      </c>
      <c r="D18" s="152" t="str">
        <f>'Front Sheet'!F45</f>
        <v>l/day/hh</v>
      </c>
      <c r="E18" s="223">
        <v>0</v>
      </c>
      <c r="F18" s="128">
        <v>0</v>
      </c>
      <c r="G18" s="126" t="str">
        <v xml:space="preserve">  </v>
      </c>
      <c r="H18" s="152">
        <f ca="1"/>
        <v>0</v>
      </c>
    </row>
    <row r="19" spans="1:8" x14ac:dyDescent="0.2">
      <c r="A19" s="481"/>
      <c r="B19" s="485" t="str">
        <f>'Front Sheet'!B46</f>
        <v>Average domestic COD production</v>
      </c>
      <c r="C19" s="152">
        <f>'Front Sheet'!E46</f>
        <v>120</v>
      </c>
      <c r="D19" s="152" t="str">
        <f>'Front Sheet'!F46</f>
        <v>g/person/day</v>
      </c>
      <c r="E19" s="223">
        <v>0</v>
      </c>
      <c r="F19" s="128" t="str">
        <v>pumping and distributing raw water</v>
      </c>
      <c r="G19" s="126" t="str">
        <v>kWh/m3</v>
      </c>
      <c r="H19" s="152">
        <f ca="1"/>
        <v>0.35399999999999998</v>
      </c>
    </row>
    <row r="20" spans="1:8" x14ac:dyDescent="0.2">
      <c r="A20" s="481"/>
      <c r="B20" s="485" t="str">
        <f>'Front Sheet'!B47</f>
        <v>Energy intensity for COD removal</v>
      </c>
      <c r="C20" s="152">
        <f ca="1">'Front Sheet'!E47</f>
        <v>1.1691666666666667</v>
      </c>
      <c r="D20" s="152" t="str">
        <f>'Front Sheet'!F47</f>
        <v>kWh/kgCOD</v>
      </c>
      <c r="E20" s="223">
        <v>0</v>
      </c>
      <c r="F20" s="128" t="str">
        <v>Treating drinking water</v>
      </c>
      <c r="G20" s="126" t="str">
        <v>kWh/m3</v>
      </c>
      <c r="H20" s="152">
        <f ca="1"/>
        <v>0.23599999999999999</v>
      </c>
    </row>
    <row r="21" spans="1:8" x14ac:dyDescent="0.2">
      <c r="A21" s="481"/>
      <c r="B21" s="485" t="str">
        <f>'Front Sheet'!B55</f>
        <v>COD discharge consent limit</v>
      </c>
      <c r="C21" s="152">
        <f>'Front Sheet'!E55</f>
        <v>40</v>
      </c>
      <c r="D21" s="152" t="str">
        <f>'Front Sheet'!F55</f>
        <v>mg/L</v>
      </c>
      <c r="E21" s="223">
        <v>0</v>
      </c>
      <c r="F21" s="128">
        <v>0</v>
      </c>
      <c r="G21" s="126" t="str">
        <v xml:space="preserve">   </v>
      </c>
      <c r="H21" s="152">
        <f ca="1"/>
        <v>0</v>
      </c>
    </row>
    <row r="22" spans="1:8" x14ac:dyDescent="0.2">
      <c r="A22" s="481"/>
      <c r="B22" s="485" t="str">
        <f>'Front Sheet'!B31</f>
        <v>Average depth from which groundwater is abstracted</v>
      </c>
      <c r="C22" s="152">
        <f>'Front Sheet'!E31</f>
        <v>9</v>
      </c>
      <c r="D22" s="152" t="str">
        <f>'Front Sheet'!F31</f>
        <v>m</v>
      </c>
      <c r="E22" s="223">
        <v>0</v>
      </c>
      <c r="F22" s="128" t="str">
        <v>Pumping, distributing and treating drinking water (columns O + P)</v>
      </c>
      <c r="G22" s="126" t="str">
        <v>kWh/m3</v>
      </c>
      <c r="H22" s="152">
        <f ca="1"/>
        <v>0.59</v>
      </c>
    </row>
    <row r="23" spans="1:8" x14ac:dyDescent="0.2">
      <c r="A23" s="481"/>
      <c r="B23" s="485" t="str">
        <f>'Front Sheet'!B32</f>
        <v>% of groundwater sourced</v>
      </c>
      <c r="C23" s="153">
        <f>'Front Sheet'!E32</f>
        <v>0.4</v>
      </c>
      <c r="D23" s="152"/>
    </row>
    <row r="24" spans="1:8" ht="12.75" customHeight="1" x14ac:dyDescent="0.2">
      <c r="A24" s="481"/>
      <c r="B24" s="485" t="s">
        <v>560</v>
      </c>
      <c r="C24" s="224">
        <f>'Front Sheet'!E33</f>
        <v>0.6</v>
      </c>
      <c r="D24" s="152"/>
    </row>
    <row r="25" spans="1:8" x14ac:dyDescent="0.2">
      <c r="A25" s="481"/>
      <c r="B25" s="485" t="s">
        <v>561</v>
      </c>
      <c r="C25" s="224">
        <f>'Front Sheet'!E34</f>
        <v>0.4</v>
      </c>
      <c r="D25" s="152"/>
      <c r="E25" s="199"/>
    </row>
    <row r="26" spans="1:8" x14ac:dyDescent="0.2">
      <c r="A26" s="481"/>
      <c r="B26" s="485" t="str">
        <f>'Front Sheet'!B48</f>
        <v>Number of households being serviced within the catchment</v>
      </c>
      <c r="C26" s="154">
        <f>'Front Sheet'!E48</f>
        <v>0</v>
      </c>
      <c r="D26" s="152"/>
    </row>
    <row r="27" spans="1:8" x14ac:dyDescent="0.2">
      <c r="A27" s="481"/>
      <c r="B27" s="485" t="str">
        <f>'Front Sheet'!B35</f>
        <v>% of energy used in supply that is renewable and generated onsite</v>
      </c>
      <c r="C27" s="224">
        <f>'Front Sheet'!E35</f>
        <v>0</v>
      </c>
      <c r="D27" s="152"/>
    </row>
    <row r="28" spans="1:8" x14ac:dyDescent="0.2">
      <c r="A28" s="481"/>
      <c r="B28" s="485" t="str">
        <f>'Front Sheet'!B58</f>
        <v>% of energy used in treatment that is renewable and generated onsite</v>
      </c>
      <c r="C28" s="224">
        <f>'Front Sheet'!E58</f>
        <v>0</v>
      </c>
      <c r="D28" s="152"/>
    </row>
    <row r="29" spans="1:8" x14ac:dyDescent="0.2">
      <c r="A29" s="481"/>
      <c r="B29" s="485" t="str">
        <f>'Front Sheet'!B61</f>
        <v>Performance factor for pumping raw water</v>
      </c>
      <c r="C29" s="153">
        <f>'Front Sheet'!E61</f>
        <v>1</v>
      </c>
      <c r="D29" s="152"/>
    </row>
    <row r="30" spans="1:8" x14ac:dyDescent="0.2">
      <c r="A30" s="481"/>
      <c r="B30" s="485" t="str">
        <f>'Front Sheet'!B62</f>
        <v>Performance factor for pumping wastewater</v>
      </c>
      <c r="C30" s="153">
        <f>'Front Sheet'!E62</f>
        <v>1</v>
      </c>
      <c r="D30" s="152"/>
    </row>
    <row r="31" spans="1:8" x14ac:dyDescent="0.2">
      <c r="A31" s="481"/>
      <c r="B31" s="485" t="str">
        <f>'Front Sheet'!B63</f>
        <v>Performance factor for treating drinking water</v>
      </c>
      <c r="C31" s="153">
        <f>'Front Sheet'!E63</f>
        <v>1</v>
      </c>
      <c r="D31" s="152"/>
    </row>
    <row r="32" spans="1:8" x14ac:dyDescent="0.2">
      <c r="A32" s="481"/>
      <c r="B32" s="485" t="str">
        <f>'Front Sheet'!B64</f>
        <v>Performance factor for treating wastewater</v>
      </c>
      <c r="C32" s="153">
        <f>'Front Sheet'!E64</f>
        <v>1</v>
      </c>
      <c r="D32" s="152"/>
    </row>
    <row r="33" spans="1:7" x14ac:dyDescent="0.2">
      <c r="A33" s="481"/>
      <c r="B33" s="485" t="str">
        <f>'Front Sheet'!B65</f>
        <v>Performance factor for heating DHW</v>
      </c>
      <c r="C33" s="153">
        <f>'Front Sheet'!E65</f>
        <v>1</v>
      </c>
      <c r="D33" s="152"/>
    </row>
    <row r="34" spans="1:7" ht="15" x14ac:dyDescent="0.2">
      <c r="A34" s="481"/>
      <c r="B34" s="483" t="s">
        <v>498</v>
      </c>
    </row>
    <row r="35" spans="1:7" x14ac:dyDescent="0.2">
      <c r="A35" s="481"/>
      <c r="B35" s="486" t="s">
        <v>454</v>
      </c>
      <c r="C35" s="159">
        <f>'Background Data'!C8</f>
        <v>0.184</v>
      </c>
      <c r="D35" s="120" t="s">
        <v>446</v>
      </c>
    </row>
    <row r="36" spans="1:7" x14ac:dyDescent="0.2">
      <c r="A36" s="481"/>
      <c r="B36" s="486" t="s">
        <v>447</v>
      </c>
      <c r="C36" s="159">
        <f>'Background Data'!C9</f>
        <v>0.52461999999999998</v>
      </c>
      <c r="D36" s="120" t="s">
        <v>446</v>
      </c>
      <c r="E36" s="198"/>
    </row>
    <row r="37" spans="1:7" x14ac:dyDescent="0.2">
      <c r="A37" s="481"/>
      <c r="B37" s="486" t="s">
        <v>489</v>
      </c>
      <c r="C37" s="159">
        <f>'Background Data'!C10</f>
        <v>365</v>
      </c>
    </row>
    <row r="38" spans="1:7" x14ac:dyDescent="0.2">
      <c r="A38" s="481"/>
      <c r="B38" s="486" t="s">
        <v>473</v>
      </c>
      <c r="C38" s="159">
        <f>'Background Data'!C11</f>
        <v>4.0000000000000001E-3</v>
      </c>
      <c r="D38" s="120" t="s">
        <v>472</v>
      </c>
    </row>
    <row r="39" spans="1:7" x14ac:dyDescent="0.2">
      <c r="A39" s="481"/>
      <c r="B39" s="486" t="s">
        <v>471</v>
      </c>
      <c r="C39" s="159">
        <f>'Background Data'!C12</f>
        <v>0.35</v>
      </c>
      <c r="D39" s="120" t="s">
        <v>438</v>
      </c>
    </row>
    <row r="40" spans="1:7" x14ac:dyDescent="0.2">
      <c r="A40" s="481"/>
      <c r="B40" s="486" t="s">
        <v>470</v>
      </c>
      <c r="C40" s="159">
        <f>'Background Data'!C13</f>
        <v>0.24</v>
      </c>
      <c r="D40" s="120" t="s">
        <v>438</v>
      </c>
    </row>
    <row r="41" spans="1:7" x14ac:dyDescent="0.2">
      <c r="A41" s="481"/>
      <c r="B41" s="486" t="s">
        <v>469</v>
      </c>
      <c r="C41" s="159">
        <f>'Background Data'!C14</f>
        <v>0.13</v>
      </c>
      <c r="D41" s="120" t="s">
        <v>438</v>
      </c>
    </row>
    <row r="42" spans="1:7" x14ac:dyDescent="0.2">
      <c r="A42" s="481"/>
      <c r="B42" s="486" t="s">
        <v>459</v>
      </c>
      <c r="C42" s="159">
        <f>'Background Data'!C15</f>
        <v>4186</v>
      </c>
      <c r="D42" s="120" t="s">
        <v>458</v>
      </c>
    </row>
    <row r="43" spans="1:7" ht="15.75" x14ac:dyDescent="0.2">
      <c r="A43" s="481"/>
      <c r="B43" s="480" t="s">
        <v>487</v>
      </c>
      <c r="C43" s="121" t="s">
        <v>488</v>
      </c>
      <c r="F43" s="260"/>
    </row>
    <row r="44" spans="1:7" x14ac:dyDescent="0.2">
      <c r="A44" s="481"/>
      <c r="B44" s="487"/>
      <c r="C44" s="170"/>
    </row>
    <row r="45" spans="1:7" s="127" customFormat="1" x14ac:dyDescent="0.2">
      <c r="A45" s="488"/>
      <c r="B45" s="565" t="s">
        <v>597</v>
      </c>
      <c r="C45" s="566"/>
      <c r="D45" s="566"/>
      <c r="E45" s="567"/>
      <c r="F45" s="73"/>
      <c r="G45" s="73"/>
    </row>
    <row r="46" spans="1:7" s="127" customFormat="1" x14ac:dyDescent="0.2">
      <c r="A46" s="390"/>
      <c r="B46" s="489" t="s">
        <v>436</v>
      </c>
      <c r="C46" s="174" t="s">
        <v>408</v>
      </c>
      <c r="D46" s="171" t="s">
        <v>370</v>
      </c>
      <c r="E46" s="171" t="s">
        <v>390</v>
      </c>
      <c r="F46"/>
      <c r="G46"/>
    </row>
    <row r="47" spans="1:7" ht="12.75" customHeight="1" x14ac:dyDescent="0.2">
      <c r="B47" s="229" t="s">
        <v>591</v>
      </c>
      <c r="C47" s="401">
        <f>IF(C10*C13*C26*C37/1000/1000&gt;0, C10*(C13)*C26*C37/1000/1000, 0)</f>
        <v>0</v>
      </c>
      <c r="D47" s="230" t="s">
        <v>474</v>
      </c>
      <c r="E47" s="261" t="s">
        <v>676</v>
      </c>
    </row>
    <row r="48" spans="1:7" ht="12.75" customHeight="1" x14ac:dyDescent="0.2">
      <c r="B48" s="229" t="s">
        <v>592</v>
      </c>
      <c r="C48" s="271">
        <f>C15</f>
        <v>319.12500000000006</v>
      </c>
      <c r="D48" s="230" t="s">
        <v>505</v>
      </c>
      <c r="E48" s="261"/>
    </row>
    <row r="49" spans="1:8" x14ac:dyDescent="0.2">
      <c r="B49" s="229" t="s">
        <v>475</v>
      </c>
      <c r="C49" s="271">
        <f>C26</f>
        <v>0</v>
      </c>
      <c r="D49" s="230"/>
      <c r="E49" s="261"/>
    </row>
    <row r="50" spans="1:8" x14ac:dyDescent="0.2">
      <c r="B50" s="229" t="s">
        <v>593</v>
      </c>
      <c r="C50" s="268">
        <f>((C48/1000)*C37*C49)</f>
        <v>0</v>
      </c>
      <c r="D50" s="230" t="s">
        <v>474</v>
      </c>
      <c r="E50" s="261" t="s">
        <v>677</v>
      </c>
      <c r="F50" s="260"/>
    </row>
    <row r="51" spans="1:8" x14ac:dyDescent="0.2">
      <c r="B51" s="229" t="s">
        <v>594</v>
      </c>
      <c r="C51" s="462">
        <f>IF((C16*C37)=0,0,(C16*C37))</f>
        <v>0</v>
      </c>
      <c r="D51" s="230" t="s">
        <v>474</v>
      </c>
      <c r="E51" s="261" t="s">
        <v>678</v>
      </c>
    </row>
    <row r="52" spans="1:8" x14ac:dyDescent="0.2">
      <c r="B52" s="229" t="s">
        <v>716</v>
      </c>
      <c r="C52" s="365">
        <f>C47+C50+C51</f>
        <v>0</v>
      </c>
      <c r="D52" s="230" t="s">
        <v>474</v>
      </c>
      <c r="E52" s="363" t="s">
        <v>717</v>
      </c>
      <c r="F52" s="73"/>
      <c r="G52" s="73"/>
    </row>
    <row r="53" spans="1:8" x14ac:dyDescent="0.2">
      <c r="B53" s="229" t="s">
        <v>595</v>
      </c>
      <c r="C53" s="272">
        <f>C9/1000*C10*C37*C49*C14</f>
        <v>0</v>
      </c>
      <c r="D53" s="230" t="s">
        <v>474</v>
      </c>
      <c r="E53" s="358" t="s">
        <v>679</v>
      </c>
    </row>
    <row r="54" spans="1:8" x14ac:dyDescent="0.2">
      <c r="B54" s="229" t="s">
        <v>582</v>
      </c>
      <c r="C54" s="365">
        <f>C9/1000*C10*C37*C49</f>
        <v>0</v>
      </c>
      <c r="D54" s="230" t="s">
        <v>474</v>
      </c>
      <c r="E54" s="363" t="s">
        <v>680</v>
      </c>
    </row>
    <row r="55" spans="1:8" x14ac:dyDescent="0.2">
      <c r="B55" s="383"/>
      <c r="C55" s="389"/>
      <c r="D55" s="384"/>
      <c r="E55" s="385"/>
      <c r="F55" s="123"/>
      <c r="G55" s="123"/>
    </row>
    <row r="56" spans="1:8" s="382" customFormat="1" ht="13.9" customHeight="1" x14ac:dyDescent="0.2">
      <c r="A56" s="351"/>
      <c r="B56" s="563" t="s">
        <v>735</v>
      </c>
      <c r="C56" s="563"/>
      <c r="D56" s="563"/>
      <c r="E56" s="563"/>
      <c r="F56" s="351"/>
      <c r="G56" s="351"/>
      <c r="H56" s="351"/>
    </row>
    <row r="57" spans="1:8" s="127" customFormat="1" x14ac:dyDescent="0.2">
      <c r="A57" s="390"/>
      <c r="B57" s="173" t="s">
        <v>436</v>
      </c>
      <c r="C57" s="174" t="s">
        <v>408</v>
      </c>
      <c r="D57" s="171" t="s">
        <v>370</v>
      </c>
      <c r="E57" s="171" t="s">
        <v>390</v>
      </c>
      <c r="F57" s="73"/>
      <c r="G57" s="73"/>
    </row>
    <row r="58" spans="1:8" ht="13.9" customHeight="1" x14ac:dyDescent="0.2">
      <c r="B58" s="186" t="s">
        <v>584</v>
      </c>
      <c r="C58" s="157">
        <f>C38</f>
        <v>4.0000000000000001E-3</v>
      </c>
      <c r="D58" s="151" t="s">
        <v>472</v>
      </c>
      <c r="E58" s="261"/>
    </row>
    <row r="59" spans="1:8" ht="15" x14ac:dyDescent="0.2">
      <c r="B59" s="194" t="s">
        <v>596</v>
      </c>
      <c r="C59" s="269">
        <f ca="1">C24 * H22</f>
        <v>0.35399999999999998</v>
      </c>
      <c r="D59" s="151" t="s">
        <v>483</v>
      </c>
      <c r="E59" s="356" t="s">
        <v>681</v>
      </c>
    </row>
    <row r="60" spans="1:8" ht="15" x14ac:dyDescent="0.2">
      <c r="B60" s="194" t="s">
        <v>470</v>
      </c>
      <c r="C60" s="269">
        <f ca="1">C25*H22</f>
        <v>0.23599999999999999</v>
      </c>
      <c r="D60" s="151" t="s">
        <v>483</v>
      </c>
      <c r="E60" s="359" t="s">
        <v>682</v>
      </c>
    </row>
    <row r="61" spans="1:8" ht="15" x14ac:dyDescent="0.2">
      <c r="B61" s="194" t="s">
        <v>469</v>
      </c>
      <c r="C61" s="226">
        <f ca="1">H14</f>
        <v>0.126</v>
      </c>
      <c r="D61" s="151" t="s">
        <v>483</v>
      </c>
      <c r="E61" s="261"/>
    </row>
    <row r="62" spans="1:8" ht="15" x14ac:dyDescent="0.2">
      <c r="B62" s="148" t="s">
        <v>468</v>
      </c>
      <c r="C62" s="226">
        <f ca="1">H8</f>
        <v>0.504</v>
      </c>
      <c r="D62" s="151" t="s">
        <v>483</v>
      </c>
      <c r="E62" s="261"/>
    </row>
    <row r="63" spans="1:8" x14ac:dyDescent="0.2">
      <c r="B63" s="148" t="str">
        <f>'Front Sheet'!B47</f>
        <v>Energy intensity for COD removal</v>
      </c>
      <c r="C63" s="270">
        <f ca="1">C20*1000</f>
        <v>1169.1666666666667</v>
      </c>
      <c r="D63" s="194" t="s">
        <v>467</v>
      </c>
      <c r="E63" s="261" t="s">
        <v>683</v>
      </c>
      <c r="F63" s="187"/>
    </row>
    <row r="64" spans="1:8" x14ac:dyDescent="0.2">
      <c r="B64" s="148" t="s">
        <v>466</v>
      </c>
      <c r="C64" s="226">
        <f ca="1">H9</f>
        <v>0.03</v>
      </c>
      <c r="D64" s="151" t="s">
        <v>467</v>
      </c>
      <c r="E64" s="261"/>
      <c r="F64" s="187"/>
    </row>
    <row r="65" spans="1:7" x14ac:dyDescent="0.2">
      <c r="B65" s="148" t="s">
        <v>465</v>
      </c>
      <c r="C65" s="269">
        <f ca="1">C62+C64</f>
        <v>0.53400000000000003</v>
      </c>
      <c r="D65" s="151" t="s">
        <v>467</v>
      </c>
      <c r="E65" s="261" t="s">
        <v>684</v>
      </c>
      <c r="F65" s="187"/>
    </row>
    <row r="66" spans="1:7" x14ac:dyDescent="0.2">
      <c r="B66" s="148" t="s">
        <v>464</v>
      </c>
      <c r="C66" s="269">
        <f ca="1">C62-C64</f>
        <v>0.47399999999999998</v>
      </c>
      <c r="D66" s="151" t="s">
        <v>467</v>
      </c>
      <c r="E66" s="261" t="s">
        <v>685</v>
      </c>
      <c r="F66" s="187"/>
    </row>
    <row r="67" spans="1:7" x14ac:dyDescent="0.2">
      <c r="B67" s="263"/>
      <c r="C67" s="264"/>
      <c r="D67" s="187"/>
      <c r="E67" s="386"/>
      <c r="F67" s="187"/>
      <c r="G67" s="123"/>
    </row>
    <row r="68" spans="1:7" s="125" customFormat="1" x14ac:dyDescent="0.2">
      <c r="B68" s="563" t="s">
        <v>463</v>
      </c>
      <c r="C68" s="563"/>
      <c r="D68" s="563"/>
      <c r="E68" s="563"/>
      <c r="F68" s="187"/>
      <c r="G68" s="265"/>
    </row>
    <row r="69" spans="1:7" s="127" customFormat="1" x14ac:dyDescent="0.2">
      <c r="A69" s="390"/>
      <c r="B69" s="173" t="s">
        <v>436</v>
      </c>
      <c r="C69" s="174" t="s">
        <v>408</v>
      </c>
      <c r="D69" s="171" t="s">
        <v>370</v>
      </c>
      <c r="E69" s="171" t="s">
        <v>390</v>
      </c>
      <c r="F69" s="73"/>
      <c r="G69" s="73"/>
    </row>
    <row r="70" spans="1:7" ht="13.9" customHeight="1" x14ac:dyDescent="0.2">
      <c r="B70" s="227" t="s">
        <v>604</v>
      </c>
      <c r="C70" s="267">
        <f>C23*C53*C22*C58*C29/1000000</f>
        <v>0</v>
      </c>
      <c r="D70" s="151" t="s">
        <v>444</v>
      </c>
      <c r="E70" s="261" t="s">
        <v>686</v>
      </c>
      <c r="F70" s="187"/>
    </row>
    <row r="71" spans="1:7" ht="12.75" customHeight="1" x14ac:dyDescent="0.2">
      <c r="B71" s="227" t="s">
        <v>605</v>
      </c>
      <c r="C71" s="268">
        <f ca="1">C53*C59*C29/1000000</f>
        <v>0</v>
      </c>
      <c r="D71" s="151" t="s">
        <v>444</v>
      </c>
      <c r="E71" s="261" t="s">
        <v>687</v>
      </c>
      <c r="F71" s="187"/>
    </row>
    <row r="72" spans="1:7" x14ac:dyDescent="0.2">
      <c r="B72" s="227" t="s">
        <v>606</v>
      </c>
      <c r="C72" s="268">
        <f ca="1">C53*C60*C31/1000000</f>
        <v>0</v>
      </c>
      <c r="D72" s="151" t="s">
        <v>444</v>
      </c>
      <c r="E72" s="360" t="s">
        <v>688</v>
      </c>
      <c r="F72" s="195"/>
    </row>
    <row r="73" spans="1:7" x14ac:dyDescent="0.2">
      <c r="B73" s="227" t="s">
        <v>607</v>
      </c>
      <c r="C73" s="267">
        <f>C23*(C54-C53)*C22*C58*C29/1000000</f>
        <v>0</v>
      </c>
      <c r="D73" s="151" t="s">
        <v>444</v>
      </c>
      <c r="E73" s="361" t="s">
        <v>689</v>
      </c>
      <c r="F73" s="195"/>
    </row>
    <row r="74" spans="1:7" x14ac:dyDescent="0.2">
      <c r="B74" s="228" t="s">
        <v>608</v>
      </c>
      <c r="C74" s="267">
        <f ca="1">(C54-C53)*C59*C29/1000000</f>
        <v>0</v>
      </c>
      <c r="D74" s="151" t="s">
        <v>444</v>
      </c>
      <c r="E74" s="261" t="s">
        <v>690</v>
      </c>
      <c r="F74" s="195"/>
    </row>
    <row r="75" spans="1:7" x14ac:dyDescent="0.2">
      <c r="B75" s="228" t="s">
        <v>609</v>
      </c>
      <c r="C75" s="267">
        <f ca="1">(C54-C53)*C60*C31/1000000</f>
        <v>0</v>
      </c>
      <c r="D75" s="149" t="s">
        <v>444</v>
      </c>
      <c r="E75" s="261" t="s">
        <v>691</v>
      </c>
      <c r="F75" s="195"/>
    </row>
    <row r="76" spans="1:7" x14ac:dyDescent="0.2">
      <c r="B76" s="228" t="s">
        <v>610</v>
      </c>
      <c r="C76" s="267">
        <f ca="1">C47*(H22/1000000*'Front Sheet'!E56)</f>
        <v>0</v>
      </c>
      <c r="D76" s="149" t="s">
        <v>444</v>
      </c>
      <c r="E76" s="261" t="s">
        <v>692</v>
      </c>
      <c r="F76" s="195"/>
      <c r="G76" s="73"/>
    </row>
    <row r="77" spans="1:7" x14ac:dyDescent="0.2">
      <c r="B77" s="228" t="s">
        <v>612</v>
      </c>
      <c r="C77" s="391">
        <f ca="1">C50*C61*C30/1000000</f>
        <v>0</v>
      </c>
      <c r="D77" s="230" t="s">
        <v>444</v>
      </c>
      <c r="E77" s="261" t="s">
        <v>693</v>
      </c>
      <c r="F77" s="195"/>
      <c r="G77" s="73"/>
    </row>
    <row r="78" spans="1:7" x14ac:dyDescent="0.2">
      <c r="B78" s="228" t="s">
        <v>611</v>
      </c>
      <c r="C78" s="267">
        <f ca="1">(C50)*C62*C32/1000000</f>
        <v>0</v>
      </c>
      <c r="D78" s="149" t="s">
        <v>444</v>
      </c>
      <c r="E78" s="261" t="s">
        <v>694</v>
      </c>
      <c r="F78" s="195"/>
      <c r="G78" s="73"/>
    </row>
    <row r="79" spans="1:7" x14ac:dyDescent="0.2">
      <c r="B79" s="186" t="s">
        <v>613</v>
      </c>
      <c r="C79" s="267">
        <f ca="1">(C50)*C65*C32/1000000</f>
        <v>0</v>
      </c>
      <c r="D79" s="149" t="s">
        <v>444</v>
      </c>
      <c r="E79" s="261" t="s">
        <v>700</v>
      </c>
      <c r="F79" s="195"/>
      <c r="G79" s="73"/>
    </row>
    <row r="80" spans="1:7" x14ac:dyDescent="0.2">
      <c r="B80" s="186" t="s">
        <v>614</v>
      </c>
      <c r="C80" s="267">
        <f ca="1">(C50)*C66*C32/1000000</f>
        <v>0</v>
      </c>
      <c r="D80" s="149" t="s">
        <v>444</v>
      </c>
      <c r="E80" s="261" t="s">
        <v>699</v>
      </c>
      <c r="F80" s="195"/>
      <c r="G80" s="73"/>
    </row>
    <row r="81" spans="1:7" x14ac:dyDescent="0.2">
      <c r="B81" s="228" t="s">
        <v>615</v>
      </c>
      <c r="C81" s="267">
        <f ca="1">(C50+C47)*C61*C30/1000000</f>
        <v>0</v>
      </c>
      <c r="D81" s="149" t="s">
        <v>444</v>
      </c>
      <c r="E81" s="362" t="s">
        <v>695</v>
      </c>
      <c r="F81" s="195"/>
    </row>
    <row r="82" spans="1:7" x14ac:dyDescent="0.2">
      <c r="B82" s="228" t="s">
        <v>616</v>
      </c>
      <c r="C82" s="267">
        <f ca="1">(C50+C47)*C62*C32/1000000</f>
        <v>0</v>
      </c>
      <c r="D82" s="149" t="s">
        <v>444</v>
      </c>
      <c r="E82" s="261" t="s">
        <v>696</v>
      </c>
      <c r="F82" s="195"/>
    </row>
    <row r="83" spans="1:7" x14ac:dyDescent="0.2">
      <c r="B83" s="186" t="s">
        <v>617</v>
      </c>
      <c r="C83" s="267">
        <f ca="1">(C50+C47)*C65*C32/1000000</f>
        <v>0</v>
      </c>
      <c r="D83" s="149" t="s">
        <v>444</v>
      </c>
      <c r="E83" s="261" t="s">
        <v>698</v>
      </c>
      <c r="F83" s="195"/>
    </row>
    <row r="84" spans="1:7" x14ac:dyDescent="0.2">
      <c r="B84" s="186" t="s">
        <v>618</v>
      </c>
      <c r="C84" s="267">
        <f ca="1">(C50+C47)*C66*C32/1000000</f>
        <v>0</v>
      </c>
      <c r="D84" s="149" t="s">
        <v>444</v>
      </c>
      <c r="E84" s="261" t="s">
        <v>697</v>
      </c>
      <c r="F84" s="195"/>
    </row>
    <row r="85" spans="1:7" x14ac:dyDescent="0.2">
      <c r="B85" s="228" t="s">
        <v>619</v>
      </c>
      <c r="C85" s="267">
        <f ca="1">(C51)*C62*C32/1000000</f>
        <v>0</v>
      </c>
      <c r="D85" s="149" t="s">
        <v>444</v>
      </c>
      <c r="E85" s="261" t="s">
        <v>701</v>
      </c>
      <c r="F85" s="195"/>
      <c r="G85" s="73"/>
    </row>
    <row r="86" spans="1:7" x14ac:dyDescent="0.2">
      <c r="B86" s="186" t="s">
        <v>620</v>
      </c>
      <c r="C86" s="267">
        <f ca="1">(C51)*C65*C32/1000000</f>
        <v>0</v>
      </c>
      <c r="D86" s="149" t="s">
        <v>444</v>
      </c>
      <c r="E86" s="261" t="s">
        <v>702</v>
      </c>
      <c r="F86" s="195"/>
      <c r="G86" s="73"/>
    </row>
    <row r="87" spans="1:7" x14ac:dyDescent="0.2">
      <c r="B87" s="186" t="s">
        <v>621</v>
      </c>
      <c r="C87" s="267">
        <f ca="1">(C51)*C66*C32/1000000</f>
        <v>0</v>
      </c>
      <c r="D87" s="149" t="s">
        <v>444</v>
      </c>
      <c r="E87" s="261" t="s">
        <v>703</v>
      </c>
      <c r="F87" s="195"/>
      <c r="G87" s="73"/>
    </row>
    <row r="88" spans="1:7" x14ac:dyDescent="0.2">
      <c r="B88" s="229" t="s">
        <v>622</v>
      </c>
      <c r="C88" s="267">
        <f ca="1">C73+C74+C77</f>
        <v>0</v>
      </c>
      <c r="D88" s="149" t="s">
        <v>444</v>
      </c>
      <c r="E88" s="261" t="s">
        <v>704</v>
      </c>
      <c r="F88" s="195"/>
      <c r="G88" s="73"/>
    </row>
    <row r="89" spans="1:7" x14ac:dyDescent="0.2">
      <c r="B89" s="229" t="s">
        <v>623</v>
      </c>
      <c r="C89" s="267">
        <f ca="1">C73+C74+C81</f>
        <v>0</v>
      </c>
      <c r="D89" s="149" t="s">
        <v>444</v>
      </c>
      <c r="E89" s="261" t="s">
        <v>705</v>
      </c>
      <c r="F89" s="195"/>
    </row>
    <row r="90" spans="1:7" x14ac:dyDescent="0.2">
      <c r="B90" s="387"/>
      <c r="C90" s="392"/>
      <c r="D90" s="187"/>
      <c r="E90" s="386"/>
      <c r="F90" s="393"/>
      <c r="G90" s="123"/>
    </row>
    <row r="91" spans="1:7" x14ac:dyDescent="0.2">
      <c r="B91" s="568" t="s">
        <v>583</v>
      </c>
      <c r="C91" s="568"/>
      <c r="D91" s="568"/>
      <c r="E91" s="568"/>
      <c r="F91" s="73"/>
      <c r="G91" s="73"/>
    </row>
    <row r="92" spans="1:7" s="127" customFormat="1" x14ac:dyDescent="0.2">
      <c r="A92" s="390"/>
      <c r="B92" s="173" t="s">
        <v>436</v>
      </c>
      <c r="C92" s="174" t="s">
        <v>408</v>
      </c>
      <c r="D92" s="171" t="s">
        <v>370</v>
      </c>
      <c r="E92" s="171" t="s">
        <v>390</v>
      </c>
      <c r="F92" s="73"/>
      <c r="G92" s="73"/>
    </row>
    <row r="93" spans="1:7" ht="13.9" customHeight="1" x14ac:dyDescent="0.2">
      <c r="B93" s="229" t="s">
        <v>599</v>
      </c>
      <c r="C93" s="394">
        <f ca="1">SUM(C70:C72)</f>
        <v>0</v>
      </c>
      <c r="D93" s="149" t="s">
        <v>444</v>
      </c>
      <c r="E93" s="357" t="s">
        <v>707</v>
      </c>
    </row>
    <row r="94" spans="1:7" x14ac:dyDescent="0.2">
      <c r="B94" s="229" t="s">
        <v>600</v>
      </c>
      <c r="C94" s="394">
        <f ca="1">(C73+C74+C75)</f>
        <v>0</v>
      </c>
      <c r="D94" s="149" t="s">
        <v>444</v>
      </c>
      <c r="E94" s="357" t="s">
        <v>708</v>
      </c>
      <c r="F94" s="73"/>
      <c r="G94" s="73"/>
    </row>
    <row r="95" spans="1:7" x14ac:dyDescent="0.2">
      <c r="B95" s="229" t="s">
        <v>601</v>
      </c>
      <c r="C95" s="395">
        <f ca="1">C75+C82</f>
        <v>0</v>
      </c>
      <c r="D95" s="261" t="s">
        <v>444</v>
      </c>
      <c r="E95" s="357" t="s">
        <v>709</v>
      </c>
    </row>
    <row r="96" spans="1:7" x14ac:dyDescent="0.2">
      <c r="B96" s="229" t="s">
        <v>602</v>
      </c>
      <c r="C96" s="395">
        <f ca="1">C75+C83</f>
        <v>0</v>
      </c>
      <c r="D96" s="149" t="s">
        <v>444</v>
      </c>
      <c r="E96" s="357" t="s">
        <v>706</v>
      </c>
    </row>
    <row r="97" spans="1:8" x14ac:dyDescent="0.2">
      <c r="B97" s="229" t="s">
        <v>603</v>
      </c>
      <c r="C97" s="395">
        <f ca="1">C75+C84</f>
        <v>0</v>
      </c>
      <c r="D97" s="149" t="s">
        <v>444</v>
      </c>
      <c r="E97" s="357" t="s">
        <v>710</v>
      </c>
    </row>
    <row r="98" spans="1:8" x14ac:dyDescent="0.2">
      <c r="B98" s="387"/>
      <c r="C98" s="396"/>
      <c r="D98" s="187"/>
      <c r="E98" s="388"/>
      <c r="F98" s="123"/>
      <c r="G98" s="123"/>
    </row>
    <row r="99" spans="1:8" s="381" customFormat="1" ht="13.9" customHeight="1" x14ac:dyDescent="0.2">
      <c r="A99" s="351"/>
      <c r="B99" s="563" t="s">
        <v>462</v>
      </c>
      <c r="C99" s="563"/>
      <c r="D99" s="563"/>
      <c r="E99" s="563"/>
      <c r="F99" s="351"/>
      <c r="G99" s="351"/>
      <c r="H99" s="351"/>
    </row>
    <row r="100" spans="1:8" s="127" customFormat="1" x14ac:dyDescent="0.2">
      <c r="A100" s="390"/>
      <c r="B100" s="173" t="s">
        <v>436</v>
      </c>
      <c r="C100" s="174" t="s">
        <v>408</v>
      </c>
      <c r="D100" s="171" t="s">
        <v>370</v>
      </c>
      <c r="E100" s="171" t="s">
        <v>390</v>
      </c>
      <c r="F100" s="73"/>
      <c r="G100" s="73"/>
    </row>
    <row r="101" spans="1:8" ht="12.75" customHeight="1" x14ac:dyDescent="0.2">
      <c r="B101" s="150" t="s">
        <v>461</v>
      </c>
      <c r="C101" s="158">
        <f>C7</f>
        <v>12</v>
      </c>
      <c r="D101" s="149" t="s">
        <v>97</v>
      </c>
      <c r="E101" s="261"/>
    </row>
    <row r="102" spans="1:8" ht="12.75" customHeight="1" x14ac:dyDescent="0.2">
      <c r="B102" s="150" t="s">
        <v>460</v>
      </c>
      <c r="C102" s="206">
        <f>C8</f>
        <v>52</v>
      </c>
      <c r="D102" s="149" t="s">
        <v>97</v>
      </c>
      <c r="E102" s="261"/>
    </row>
    <row r="103" spans="1:8" ht="12.75" customHeight="1" x14ac:dyDescent="0.2">
      <c r="B103" s="150" t="s">
        <v>484</v>
      </c>
      <c r="C103" s="397">
        <f>(C42*1000*(C102-C101)/3600000)</f>
        <v>46.511111111111113</v>
      </c>
      <c r="D103" s="149" t="s">
        <v>438</v>
      </c>
      <c r="E103" s="261" t="s">
        <v>711</v>
      </c>
    </row>
    <row r="104" spans="1:8" ht="12.75" customHeight="1" x14ac:dyDescent="0.2">
      <c r="B104" s="308" t="s">
        <v>598</v>
      </c>
      <c r="C104" s="318">
        <f>C18</f>
        <v>122</v>
      </c>
      <c r="D104" s="149" t="s">
        <v>505</v>
      </c>
      <c r="E104" s="261"/>
    </row>
    <row r="105" spans="1:8" ht="12.75" customHeight="1" x14ac:dyDescent="0.2">
      <c r="B105" s="308" t="s">
        <v>625</v>
      </c>
      <c r="C105" s="395">
        <f>(C104/1000)*C103</f>
        <v>5.6743555555555556</v>
      </c>
      <c r="D105" s="149" t="s">
        <v>506</v>
      </c>
      <c r="E105" s="261" t="s">
        <v>712</v>
      </c>
    </row>
    <row r="106" spans="1:8" ht="12.75" customHeight="1" x14ac:dyDescent="0.2">
      <c r="B106" s="229" t="s">
        <v>626</v>
      </c>
      <c r="C106" s="398">
        <f>(C105*C37)*C49*C33/1000000</f>
        <v>0</v>
      </c>
      <c r="D106" s="149" t="s">
        <v>444</v>
      </c>
      <c r="E106" s="261" t="s">
        <v>713</v>
      </c>
    </row>
    <row r="107" spans="1:8" ht="12.75" customHeight="1" x14ac:dyDescent="0.2">
      <c r="B107" s="387"/>
      <c r="C107" s="399"/>
      <c r="D107" s="187"/>
      <c r="E107" s="386"/>
      <c r="F107" s="123"/>
      <c r="G107" s="123"/>
    </row>
    <row r="108" spans="1:8" s="381" customFormat="1" ht="13.9" customHeight="1" x14ac:dyDescent="0.2">
      <c r="A108" s="351"/>
      <c r="B108" s="563" t="s">
        <v>736</v>
      </c>
      <c r="C108" s="563"/>
      <c r="D108" s="563"/>
      <c r="E108" s="563"/>
      <c r="F108" s="351"/>
      <c r="G108" s="351"/>
      <c r="H108" s="351"/>
    </row>
    <row r="109" spans="1:8" s="127" customFormat="1" x14ac:dyDescent="0.2">
      <c r="A109" s="390"/>
      <c r="B109" s="173" t="s">
        <v>436</v>
      </c>
      <c r="C109" s="174" t="s">
        <v>408</v>
      </c>
      <c r="D109" s="171" t="s">
        <v>370</v>
      </c>
      <c r="E109" s="171" t="s">
        <v>390</v>
      </c>
      <c r="F109" s="73"/>
      <c r="G109" s="73"/>
    </row>
    <row r="110" spans="1:8" ht="12.75" customHeight="1" x14ac:dyDescent="0.2">
      <c r="B110" s="186" t="s">
        <v>457</v>
      </c>
      <c r="C110" s="395">
        <f>C19*C26*C10/1000000*C37</f>
        <v>0</v>
      </c>
      <c r="D110" s="149" t="s">
        <v>456</v>
      </c>
      <c r="E110" s="261" t="s">
        <v>714</v>
      </c>
    </row>
    <row r="111" spans="1:8" x14ac:dyDescent="0.2">
      <c r="B111" s="186" t="s">
        <v>455</v>
      </c>
      <c r="C111" s="395">
        <f>(C17/1000)*C37</f>
        <v>0</v>
      </c>
      <c r="D111" s="149" t="str">
        <f>D110</f>
        <v>TonneCOD/year</v>
      </c>
      <c r="E111" s="261" t="s">
        <v>715</v>
      </c>
    </row>
    <row r="112" spans="1:8" x14ac:dyDescent="0.2">
      <c r="B112" s="186" t="s">
        <v>718</v>
      </c>
      <c r="C112" s="395">
        <f>C111+C110</f>
        <v>0</v>
      </c>
      <c r="D112" s="149" t="str">
        <f>D111</f>
        <v>TonneCOD/year</v>
      </c>
      <c r="E112" s="261" t="s">
        <v>719</v>
      </c>
      <c r="F112" s="73"/>
      <c r="G112" s="73"/>
    </row>
    <row r="113" spans="1:7" x14ac:dyDescent="0.2">
      <c r="B113" s="186" t="s">
        <v>723</v>
      </c>
      <c r="C113" s="391">
        <f>IF(C110=0, 0, (C110*1000000000)/((C50+C47)*1000))</f>
        <v>0</v>
      </c>
      <c r="D113" s="400" t="s">
        <v>720</v>
      </c>
      <c r="E113" s="261" t="s">
        <v>728</v>
      </c>
      <c r="F113" s="73"/>
      <c r="G113" s="73"/>
    </row>
    <row r="114" spans="1:7" x14ac:dyDescent="0.2">
      <c r="B114" s="186" t="s">
        <v>721</v>
      </c>
      <c r="C114" s="365">
        <f>IF(C111=0, 0, (C111*1000000000)/(C51*1000))</f>
        <v>0</v>
      </c>
      <c r="D114" s="400" t="s">
        <v>720</v>
      </c>
      <c r="E114" s="261" t="s">
        <v>729</v>
      </c>
      <c r="F114" s="73"/>
      <c r="G114" s="73"/>
    </row>
    <row r="115" spans="1:7" x14ac:dyDescent="0.2">
      <c r="B115" s="186" t="s">
        <v>722</v>
      </c>
      <c r="C115" s="365">
        <f>IF(C112=0, 0,(C112*1000000000)/(C52*1000))</f>
        <v>0</v>
      </c>
      <c r="D115" s="400" t="s">
        <v>720</v>
      </c>
      <c r="E115" s="261" t="s">
        <v>730</v>
      </c>
      <c r="F115" s="73"/>
      <c r="G115" s="73"/>
    </row>
    <row r="116" spans="1:7" s="214" customFormat="1" x14ac:dyDescent="0.2">
      <c r="A116" s="276"/>
      <c r="B116" s="186" t="s">
        <v>725</v>
      </c>
      <c r="C116" s="391">
        <f>IF(C113&gt;C21,(((((C113-C21)*((C50+C47)*1000))/1000000)*H7)/1000000), 0)</f>
        <v>0</v>
      </c>
      <c r="D116" s="230" t="s">
        <v>444</v>
      </c>
      <c r="E116" s="230" t="s">
        <v>731</v>
      </c>
      <c r="F116" s="218"/>
      <c r="G116" s="218"/>
    </row>
    <row r="117" spans="1:7" x14ac:dyDescent="0.2">
      <c r="B117" s="186" t="s">
        <v>724</v>
      </c>
      <c r="C117" s="401">
        <f>IF(C114&gt;C21,(((((C114-C21)*(C51*1000))/1000000*H7)/1000000)),0)</f>
        <v>0</v>
      </c>
      <c r="D117" s="230" t="s">
        <v>444</v>
      </c>
      <c r="E117" s="368" t="s">
        <v>732</v>
      </c>
    </row>
    <row r="118" spans="1:7" ht="12.75" customHeight="1" x14ac:dyDescent="0.2">
      <c r="B118" s="186" t="s">
        <v>726</v>
      </c>
      <c r="C118" s="473">
        <f>IF(C115&gt;C21,((((((C115-C21)*((C52*1000)/1000000))*((H7)/1000000))))), 0)</f>
        <v>0</v>
      </c>
      <c r="D118" s="230" t="s">
        <v>444</v>
      </c>
      <c r="E118" s="400" t="s">
        <v>733</v>
      </c>
      <c r="F118" s="73"/>
      <c r="G118" s="73"/>
    </row>
    <row r="119" spans="1:7" s="214" customFormat="1" x14ac:dyDescent="0.2">
      <c r="A119" s="276"/>
      <c r="B119" s="229" t="s">
        <v>727</v>
      </c>
      <c r="C119" s="402">
        <f>(C116+C117)-C118</f>
        <v>0</v>
      </c>
      <c r="D119" s="230" t="s">
        <v>444</v>
      </c>
      <c r="E119" s="230" t="s">
        <v>734</v>
      </c>
      <c r="F119" s="218"/>
      <c r="G119" s="218"/>
    </row>
    <row r="120" spans="1:7" x14ac:dyDescent="0.2">
      <c r="C120" s="170"/>
    </row>
    <row r="121" spans="1:7" x14ac:dyDescent="0.2">
      <c r="B121" s="169"/>
    </row>
    <row r="122" spans="1:7" x14ac:dyDescent="0.2">
      <c r="B122" s="198"/>
      <c r="C122" s="169"/>
    </row>
    <row r="123" spans="1:7" x14ac:dyDescent="0.2">
      <c r="B123" s="198"/>
      <c r="C123" s="169"/>
    </row>
    <row r="124" spans="1:7" x14ac:dyDescent="0.2">
      <c r="C124" s="169"/>
    </row>
    <row r="125" spans="1:7" x14ac:dyDescent="0.2">
      <c r="C125" s="366"/>
    </row>
  </sheetData>
  <sheetProtection algorithmName="SHA-512" hashValue="OTAI6zq5cMAKxsSGBkQF1ZxXY3EIRxW/EjVznCf60H74rnj+0GL0iHVgeJcBlekyueASfXJURU6KAGQo1w/ujA==" saltValue="rSQ0YZsKd03iFUCGIP3nSA==" spinCount="100000" sheet="1" objects="1" scenarios="1" formatCells="0" formatColumns="0" formatRows="0" insertColumns="0" insertRows="0" insertHyperlinks="0" deleteColumns="0" deleteRows="0"/>
  <mergeCells count="7">
    <mergeCell ref="B99:E99"/>
    <mergeCell ref="B108:E108"/>
    <mergeCell ref="G5:H5"/>
    <mergeCell ref="B45:E45"/>
    <mergeCell ref="B56:E56"/>
    <mergeCell ref="B68:E68"/>
    <mergeCell ref="B91:E91"/>
  </mergeCells>
  <conditionalFormatting sqref="A1">
    <cfRule type="containsText" dxfId="11" priority="1" stopIfTrue="1" operator="containsText" text="Err">
      <formula>NOT(ISERROR(SEARCH("Err",A1)))</formula>
    </cfRule>
  </conditionalFormatting>
  <dataValidations count="1">
    <dataValidation type="list" allowBlank="1" showInputMessage="1" showErrorMessage="1" sqref="A1">
      <formula1>l_OKErr</formula1>
    </dataValidation>
  </dataValidation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4"/>
  </sheetPr>
  <dimension ref="A1:S34"/>
  <sheetViews>
    <sheetView showZeros="0" topLeftCell="F1" zoomScale="90" zoomScaleNormal="90" workbookViewId="0">
      <selection activeCell="E20" sqref="E20"/>
    </sheetView>
  </sheetViews>
  <sheetFormatPr defaultColWidth="9.140625" defaultRowHeight="12.75" x14ac:dyDescent="0.2"/>
  <cols>
    <col min="1" max="1" width="9.140625" style="73"/>
    <col min="2" max="2" width="15.28515625" style="73" customWidth="1"/>
    <col min="3" max="3" width="9.85546875" style="73" bestFit="1" customWidth="1"/>
    <col min="4" max="6" width="20.7109375" style="73" customWidth="1"/>
    <col min="7" max="7" width="2.7109375" style="73" customWidth="1"/>
    <col min="8" max="12" width="20.7109375" style="73" customWidth="1"/>
    <col min="13" max="13" width="2.7109375" style="73" customWidth="1"/>
    <col min="14" max="14" width="20.7109375" style="73" customWidth="1"/>
    <col min="15" max="15" width="2.7109375" style="73" customWidth="1"/>
    <col min="16" max="17" width="20.7109375" style="73" customWidth="1"/>
    <col min="18" max="18" width="2.7109375" style="73" customWidth="1"/>
    <col min="19" max="19" width="20.7109375" style="73" customWidth="1"/>
    <col min="20" max="16384" width="9.140625" style="73"/>
  </cols>
  <sheetData>
    <row r="1" spans="1:19" x14ac:dyDescent="0.2">
      <c r="A1" s="81" t="s">
        <v>2</v>
      </c>
    </row>
    <row r="3" spans="1:19" ht="15.75" x14ac:dyDescent="0.2">
      <c r="A3" s="71" t="s">
        <v>407</v>
      </c>
      <c r="B3" s="121"/>
      <c r="C3" s="123"/>
      <c r="D3" s="123"/>
      <c r="E3" s="123"/>
      <c r="F3" s="123"/>
      <c r="G3" s="123"/>
      <c r="H3" s="123"/>
      <c r="I3" s="123"/>
      <c r="J3" s="123"/>
      <c r="K3" s="123"/>
    </row>
    <row r="4" spans="1:19" x14ac:dyDescent="0.2">
      <c r="B4" s="67" t="s">
        <v>434</v>
      </c>
      <c r="K4" s="510"/>
      <c r="L4" s="510"/>
      <c r="M4" s="510"/>
      <c r="N4" s="510"/>
      <c r="O4" s="510"/>
      <c r="P4" s="510"/>
      <c r="Q4" s="510"/>
      <c r="R4" s="510"/>
      <c r="S4" s="510"/>
    </row>
    <row r="5" spans="1:19" x14ac:dyDescent="0.2">
      <c r="B5" s="67"/>
      <c r="K5" s="511"/>
      <c r="L5" s="511"/>
      <c r="M5" s="511"/>
      <c r="N5" s="511"/>
      <c r="O5" s="511"/>
      <c r="P5" s="511"/>
      <c r="Q5" s="511"/>
      <c r="R5" s="511"/>
      <c r="S5" s="511"/>
    </row>
    <row r="6" spans="1:19" x14ac:dyDescent="0.2">
      <c r="B6" s="67"/>
    </row>
    <row r="7" spans="1:19" x14ac:dyDescent="0.2">
      <c r="B7" s="67"/>
    </row>
    <row r="8" spans="1:19" ht="15.75" thickBot="1" x14ac:dyDescent="0.25">
      <c r="B8" s="213" t="s">
        <v>577</v>
      </c>
    </row>
    <row r="9" spans="1:19" ht="15" x14ac:dyDescent="0.2">
      <c r="B9" s="213"/>
      <c r="C9" s="238" t="str">
        <f t="array" ref="C9:S11">C16:S18</f>
        <v>Parameter:</v>
      </c>
      <c r="D9" s="239" t="str">
        <v>COD</v>
      </c>
      <c r="E9" s="240" t="str">
        <v>WWTP for EU</v>
      </c>
      <c r="F9" s="240">
        <v>0</v>
      </c>
      <c r="G9" s="240" t="str">
        <v xml:space="preserve"> </v>
      </c>
      <c r="H9" s="240">
        <v>0</v>
      </c>
      <c r="I9" s="240" t="str">
        <v>WWTP for EU</v>
      </c>
      <c r="J9" s="240">
        <v>0</v>
      </c>
      <c r="K9" s="240">
        <v>0</v>
      </c>
      <c r="L9" s="240">
        <v>0</v>
      </c>
      <c r="M9" s="240">
        <v>0</v>
      </c>
      <c r="N9" s="240">
        <v>0</v>
      </c>
      <c r="O9" s="240">
        <v>0</v>
      </c>
      <c r="P9" s="240">
        <v>0</v>
      </c>
      <c r="Q9" s="240">
        <v>0</v>
      </c>
      <c r="R9" s="240">
        <v>0</v>
      </c>
      <c r="S9" s="241">
        <v>0</v>
      </c>
    </row>
    <row r="10" spans="1:19" s="161" customFormat="1" ht="38.25" x14ac:dyDescent="0.2">
      <c r="B10" s="312"/>
      <c r="C10" s="313" t="str">
        <v>Cut:</v>
      </c>
      <c r="D10" s="314">
        <v>0</v>
      </c>
      <c r="E10" s="315" t="str">
        <v>mean</v>
      </c>
      <c r="F10" s="315" t="str">
        <v>Standard error derived from regression analysis</v>
      </c>
      <c r="G10" s="315" t="str">
        <v xml:space="preserve"> </v>
      </c>
      <c r="H10" s="315" t="str">
        <v>COD Elimination (if known)</v>
      </c>
      <c r="I10" s="315" t="str">
        <v>mean</v>
      </c>
      <c r="J10" s="315" t="str">
        <v>Standard error derived from regression analysis</v>
      </c>
      <c r="K10" s="315" t="str">
        <v>Pump WW within sewer</v>
      </c>
      <c r="L10" s="315" t="str">
        <v>Total WW Pumping &amp; Treatment (columns I + K)</v>
      </c>
      <c r="M10" s="315">
        <v>0</v>
      </c>
      <c r="N10" s="315" t="str">
        <v>Pumping, distributing and treating drinking water (if known)</v>
      </c>
      <c r="O10" s="315">
        <v>0</v>
      </c>
      <c r="P10" s="315" t="str">
        <v>pumping and distributing raw water</v>
      </c>
      <c r="Q10" s="315" t="str">
        <v>Treating drinking water</v>
      </c>
      <c r="R10" s="315">
        <v>0</v>
      </c>
      <c r="S10" s="316" t="str">
        <v>Pumping, distributing and treating drinking water (columns O + P)</v>
      </c>
    </row>
    <row r="11" spans="1:19" x14ac:dyDescent="0.2">
      <c r="B11" s="67"/>
      <c r="C11" s="238" t="str">
        <v>Unit:</v>
      </c>
      <c r="D11" s="242" t="str">
        <v>kWh/kg</v>
      </c>
      <c r="E11" s="243" t="str">
        <v>kWh/m3</v>
      </c>
      <c r="F11" s="243" t="str">
        <v>kWh/m3</v>
      </c>
      <c r="G11" s="243" t="str">
        <v xml:space="preserve"> </v>
      </c>
      <c r="H11" s="243" t="str">
        <v>kWh/kgeliminatedCOD</v>
      </c>
      <c r="I11" s="243" t="str">
        <v>kWh/m3</v>
      </c>
      <c r="J11" s="243" t="str">
        <v>kWh/m3</v>
      </c>
      <c r="K11" s="243" t="str">
        <v>kWh/m3</v>
      </c>
      <c r="L11" s="243" t="str">
        <v>kWh/m3</v>
      </c>
      <c r="M11" s="243" t="str">
        <v xml:space="preserve">  </v>
      </c>
      <c r="N11" s="243" t="str">
        <v>kWh/m3</v>
      </c>
      <c r="O11" s="243" t="str">
        <v xml:space="preserve">  </v>
      </c>
      <c r="P11" s="243" t="str">
        <v>kWh/m3</v>
      </c>
      <c r="Q11" s="243" t="str">
        <v>kWh/m3</v>
      </c>
      <c r="R11" s="243" t="str">
        <v xml:space="preserve">   </v>
      </c>
      <c r="S11" s="244" t="str">
        <v>kWh/m3</v>
      </c>
    </row>
    <row r="12" spans="1:19" ht="13.5" thickBot="1" x14ac:dyDescent="0.25">
      <c r="A12" s="167">
        <f ca="1">MATCH(n_Country,l_Countries,0)-2</f>
        <v>8</v>
      </c>
      <c r="B12" s="245" t="str">
        <f t="array" aca="1" ref="B12:S12" ca="1">INDEX(a_Countries,$A12,)</f>
        <v>UK</v>
      </c>
      <c r="C12" s="245">
        <f ca="1"/>
        <v>0</v>
      </c>
      <c r="D12" s="246">
        <f ca="1"/>
        <v>1.1691666666666667</v>
      </c>
      <c r="E12" s="247">
        <f ca="1"/>
        <v>0.504</v>
      </c>
      <c r="F12" s="247">
        <f ca="1"/>
        <v>0.03</v>
      </c>
      <c r="G12" s="247" t="str">
        <f ca="1"/>
        <v xml:space="preserve"> </v>
      </c>
      <c r="H12" s="247">
        <f ca="1"/>
        <v>0</v>
      </c>
      <c r="I12" s="247">
        <f ca="1"/>
        <v>0.504</v>
      </c>
      <c r="J12" s="247">
        <f ca="1"/>
        <v>0.03</v>
      </c>
      <c r="K12" s="247">
        <f ca="1"/>
        <v>0.126</v>
      </c>
      <c r="L12" s="247">
        <f ca="1"/>
        <v>0.63</v>
      </c>
      <c r="M12" s="247">
        <f ca="1"/>
        <v>0</v>
      </c>
      <c r="N12" s="247">
        <f ca="1"/>
        <v>0.59</v>
      </c>
      <c r="O12" s="247">
        <f ca="1"/>
        <v>0</v>
      </c>
      <c r="P12" s="247">
        <f ca="1"/>
        <v>0.35399999999999998</v>
      </c>
      <c r="Q12" s="247">
        <f ca="1"/>
        <v>0.23599999999999999</v>
      </c>
      <c r="R12" s="247">
        <f ca="1"/>
        <v>0</v>
      </c>
      <c r="S12" s="248">
        <f ca="1"/>
        <v>0.59</v>
      </c>
    </row>
    <row r="13" spans="1:19" x14ac:dyDescent="0.2">
      <c r="B13" s="67"/>
    </row>
    <row r="14" spans="1:19" x14ac:dyDescent="0.2">
      <c r="B14" s="67"/>
    </row>
    <row r="15" spans="1:19" x14ac:dyDescent="0.2">
      <c r="D15" s="124">
        <f>COLUMNS($B$18:$IP$18)-COUNTBLANK($B$18:$IP$18)</f>
        <v>18</v>
      </c>
      <c r="G15" s="73" t="s">
        <v>440</v>
      </c>
      <c r="H15" s="138"/>
      <c r="P15" s="250">
        <v>0.6</v>
      </c>
      <c r="Q15" s="249">
        <f>1-P15</f>
        <v>0.4</v>
      </c>
    </row>
    <row r="16" spans="1:19" x14ac:dyDescent="0.2">
      <c r="B16" s="124">
        <f>ROWS(B$18:B$192)-COUNTBLANK(B$18:B$192)</f>
        <v>10</v>
      </c>
      <c r="C16" s="128" t="s">
        <v>441</v>
      </c>
      <c r="D16" s="138" t="s">
        <v>427</v>
      </c>
      <c r="E16" s="138" t="s">
        <v>437</v>
      </c>
      <c r="F16" s="138"/>
      <c r="G16" s="73" t="s">
        <v>440</v>
      </c>
      <c r="I16" s="138" t="s">
        <v>437</v>
      </c>
      <c r="J16" s="138"/>
      <c r="L16" s="197"/>
    </row>
    <row r="17" spans="2:19" ht="38.25" x14ac:dyDescent="0.2">
      <c r="B17" s="97" t="s">
        <v>490</v>
      </c>
      <c r="C17" s="128" t="s">
        <v>442</v>
      </c>
      <c r="D17" s="138"/>
      <c r="E17" s="138" t="s">
        <v>435</v>
      </c>
      <c r="F17" s="201" t="s">
        <v>564</v>
      </c>
      <c r="G17" s="73" t="s">
        <v>440</v>
      </c>
      <c r="H17" s="324" t="s">
        <v>630</v>
      </c>
      <c r="I17" s="138" t="s">
        <v>435</v>
      </c>
      <c r="J17" s="201" t="s">
        <v>564</v>
      </c>
      <c r="K17" s="216" t="s">
        <v>555</v>
      </c>
      <c r="L17" s="217" t="s">
        <v>562</v>
      </c>
      <c r="M17" s="218"/>
      <c r="N17" s="219" t="s">
        <v>752</v>
      </c>
      <c r="O17" s="218"/>
      <c r="P17" s="219" t="s">
        <v>557</v>
      </c>
      <c r="Q17" s="219" t="s">
        <v>556</v>
      </c>
      <c r="R17" s="218"/>
      <c r="S17" s="216" t="s">
        <v>563</v>
      </c>
    </row>
    <row r="18" spans="2:19" ht="15" thickBot="1" x14ac:dyDescent="0.25">
      <c r="B18" s="139" t="s">
        <v>413</v>
      </c>
      <c r="C18" s="140" t="s">
        <v>443</v>
      </c>
      <c r="D18" s="141" t="s">
        <v>439</v>
      </c>
      <c r="E18" s="141" t="s">
        <v>438</v>
      </c>
      <c r="F18" s="141" t="s">
        <v>438</v>
      </c>
      <c r="G18" s="73" t="s">
        <v>440</v>
      </c>
      <c r="H18" s="193" t="s">
        <v>554</v>
      </c>
      <c r="I18" s="141" t="s">
        <v>438</v>
      </c>
      <c r="J18" s="141" t="s">
        <v>438</v>
      </c>
      <c r="K18" s="220" t="s">
        <v>438</v>
      </c>
      <c r="L18" s="221" t="s">
        <v>438</v>
      </c>
      <c r="M18" s="218" t="s">
        <v>578</v>
      </c>
      <c r="N18" s="221" t="s">
        <v>438</v>
      </c>
      <c r="O18" s="218" t="s">
        <v>578</v>
      </c>
      <c r="P18" s="221" t="s">
        <v>438</v>
      </c>
      <c r="Q18" s="221" t="s">
        <v>438</v>
      </c>
      <c r="R18" s="218" t="s">
        <v>579</v>
      </c>
      <c r="S18" s="220" t="s">
        <v>438</v>
      </c>
    </row>
    <row r="19" spans="2:19" x14ac:dyDescent="0.2">
      <c r="B19" s="253" t="s">
        <v>581</v>
      </c>
      <c r="C19" s="254"/>
      <c r="D19" s="255">
        <f ca="1">AVERAGE(OFFSET(D$20,0,0,$B$16-2,1))</f>
        <v>1.1691666666666667</v>
      </c>
      <c r="E19" s="255">
        <f ca="1">AVERAGE(OFFSET(E$20,0,0,$B$16-2,1))</f>
        <v>0.42257499999999998</v>
      </c>
      <c r="F19" s="255"/>
      <c r="G19" s="256"/>
      <c r="H19" s="255">
        <f ca="1">AVERAGE(OFFSET(H$20,0,0,$B$16-2,1))</f>
        <v>1.1691666666666667</v>
      </c>
      <c r="I19" s="255">
        <f t="shared" ref="I19:N19" ca="1" si="0">AVERAGE(OFFSET(I$20,0,0,$B$16-2,1))</f>
        <v>0.42257499999999998</v>
      </c>
      <c r="J19" s="317"/>
      <c r="K19" s="255">
        <f t="shared" ca="1" si="0"/>
        <v>0.10564374999999999</v>
      </c>
      <c r="L19" s="255">
        <f t="shared" ca="1" si="0"/>
        <v>0.52821875000000007</v>
      </c>
      <c r="M19" s="257"/>
      <c r="N19" s="255">
        <f t="shared" ca="1" si="0"/>
        <v>0.5</v>
      </c>
      <c r="O19" s="257"/>
      <c r="P19" s="258">
        <f ca="1">$N19 * P$15</f>
        <v>0.3</v>
      </c>
      <c r="Q19" s="258">
        <f ca="1">$N19 * Q$15</f>
        <v>0.2</v>
      </c>
      <c r="R19" s="257"/>
      <c r="S19" s="258">
        <f ca="1">P19+Q19</f>
        <v>0.5</v>
      </c>
    </row>
    <row r="20" spans="2:19" x14ac:dyDescent="0.2">
      <c r="B20" s="62" t="s">
        <v>414</v>
      </c>
      <c r="D20" s="202">
        <f t="shared" ref="D20:D27" si="1">IF($H20&lt;&gt;"",$H20,$H$19)</f>
        <v>0.73599999999999999</v>
      </c>
      <c r="E20" s="202">
        <f t="shared" ref="E20:F27" si="2">I20</f>
        <v>0.33779999999999999</v>
      </c>
      <c r="F20" s="202">
        <f t="shared" si="2"/>
        <v>4.8000000000000001E-2</v>
      </c>
      <c r="G20" s="126" t="s">
        <v>440</v>
      </c>
      <c r="H20" s="203">
        <v>0.73599999999999999</v>
      </c>
      <c r="I20" s="203">
        <v>0.33779999999999999</v>
      </c>
      <c r="J20" s="203">
        <v>4.8000000000000001E-2</v>
      </c>
      <c r="K20" s="231">
        <f>(I20/80)*20</f>
        <v>8.4449999999999997E-2</v>
      </c>
      <c r="L20" s="232">
        <f t="shared" ref="L20:L26" si="3">K20+I20</f>
        <v>0.42225000000000001</v>
      </c>
      <c r="M20" s="233"/>
      <c r="N20" s="252"/>
      <c r="O20" s="233"/>
      <c r="P20" s="234">
        <f ca="1">IF($N20="",P$19,$N20*P$15)</f>
        <v>0.3</v>
      </c>
      <c r="Q20" s="234">
        <f t="shared" ref="Q20:Q27" ca="1" si="4">IF($N20="",Q$19,$N20*Q$15)</f>
        <v>0.2</v>
      </c>
      <c r="R20" s="233"/>
      <c r="S20" s="235">
        <f ca="1">P20+Q20</f>
        <v>0.5</v>
      </c>
    </row>
    <row r="21" spans="2:19" x14ac:dyDescent="0.2">
      <c r="B21" s="62" t="s">
        <v>415</v>
      </c>
      <c r="D21" s="202">
        <f t="shared" si="1"/>
        <v>1.6739999999999999</v>
      </c>
      <c r="E21" s="262">
        <f t="shared" si="2"/>
        <v>0.27079999999999999</v>
      </c>
      <c r="F21" s="262">
        <f t="shared" si="2"/>
        <v>8.9999999999999993E-3</v>
      </c>
      <c r="G21" s="126" t="s">
        <v>440</v>
      </c>
      <c r="H21" s="204">
        <v>1.6739999999999999</v>
      </c>
      <c r="I21" s="204">
        <v>0.27079999999999999</v>
      </c>
      <c r="J21" s="204">
        <v>8.9999999999999993E-3</v>
      </c>
      <c r="K21" s="231">
        <f t="shared" ref="K21:K26" si="5">(I21/80)*20</f>
        <v>6.7699999999999996E-2</v>
      </c>
      <c r="L21" s="232">
        <f t="shared" si="3"/>
        <v>0.33849999999999997</v>
      </c>
      <c r="M21" s="233"/>
      <c r="N21" s="251">
        <v>0.41</v>
      </c>
      <c r="O21" s="233"/>
      <c r="P21" s="234">
        <f t="shared" ref="P21:P27" si="6">IF($N21="",P$19,$N21*P$15)</f>
        <v>0.24599999999999997</v>
      </c>
      <c r="Q21" s="234">
        <f t="shared" si="4"/>
        <v>0.16400000000000001</v>
      </c>
      <c r="R21" s="233"/>
      <c r="S21" s="235">
        <f t="shared" ref="S21:S27" si="7">P21+Q21</f>
        <v>0.41</v>
      </c>
    </row>
    <row r="22" spans="2:19" x14ac:dyDescent="0.2">
      <c r="B22" s="62" t="s">
        <v>416</v>
      </c>
      <c r="D22" s="202">
        <f t="shared" si="1"/>
        <v>0.94199999999999995</v>
      </c>
      <c r="E22" s="262">
        <f t="shared" si="2"/>
        <v>0.28199999999999997</v>
      </c>
      <c r="F22" s="262">
        <f t="shared" si="2"/>
        <v>0.27300000000000002</v>
      </c>
      <c r="G22" s="126" t="s">
        <v>440</v>
      </c>
      <c r="H22" s="204">
        <v>0.94199999999999995</v>
      </c>
      <c r="I22" s="204">
        <v>0.28199999999999997</v>
      </c>
      <c r="J22" s="204">
        <v>0.27300000000000002</v>
      </c>
      <c r="K22" s="231">
        <f t="shared" si="5"/>
        <v>7.0499999999999993E-2</v>
      </c>
      <c r="L22" s="232">
        <f t="shared" si="3"/>
        <v>0.35249999999999998</v>
      </c>
      <c r="M22" s="233"/>
      <c r="N22" s="251"/>
      <c r="O22" s="233"/>
      <c r="P22" s="234">
        <f t="shared" ca="1" si="6"/>
        <v>0.3</v>
      </c>
      <c r="Q22" s="234">
        <f t="shared" ca="1" si="4"/>
        <v>0.2</v>
      </c>
      <c r="R22" s="233"/>
      <c r="S22" s="235">
        <f t="shared" ca="1" si="7"/>
        <v>0.5</v>
      </c>
    </row>
    <row r="23" spans="2:19" x14ac:dyDescent="0.2">
      <c r="B23" s="62" t="s">
        <v>417</v>
      </c>
      <c r="D23" s="202">
        <f t="shared" si="1"/>
        <v>1.0580000000000001</v>
      </c>
      <c r="E23" s="262">
        <f t="shared" si="2"/>
        <v>0.52200000000000002</v>
      </c>
      <c r="F23" s="262">
        <f t="shared" si="2"/>
        <v>7.3999999999999996E-2</v>
      </c>
      <c r="G23" s="126" t="s">
        <v>440</v>
      </c>
      <c r="H23" s="204">
        <v>1.0580000000000001</v>
      </c>
      <c r="I23" s="204">
        <v>0.52200000000000002</v>
      </c>
      <c r="J23" s="204">
        <v>7.3999999999999996E-2</v>
      </c>
      <c r="K23" s="231">
        <f t="shared" si="5"/>
        <v>0.1305</v>
      </c>
      <c r="L23" s="232">
        <f t="shared" si="3"/>
        <v>0.65250000000000008</v>
      </c>
      <c r="M23" s="233"/>
      <c r="N23" s="251"/>
      <c r="O23" s="233"/>
      <c r="P23" s="234">
        <f t="shared" ca="1" si="6"/>
        <v>0.3</v>
      </c>
      <c r="Q23" s="234">
        <f t="shared" ca="1" si="4"/>
        <v>0.2</v>
      </c>
      <c r="R23" s="233"/>
      <c r="S23" s="235">
        <f t="shared" ca="1" si="7"/>
        <v>0.5</v>
      </c>
    </row>
    <row r="24" spans="2:19" x14ac:dyDescent="0.2">
      <c r="B24" s="62" t="s">
        <v>418</v>
      </c>
      <c r="D24" s="202">
        <f t="shared" ca="1" si="1"/>
        <v>1.1691666666666667</v>
      </c>
      <c r="E24" s="262">
        <f t="shared" si="2"/>
        <v>0.74299999999999999</v>
      </c>
      <c r="F24" s="262">
        <f t="shared" si="2"/>
        <v>3.5999999999999997E-2</v>
      </c>
      <c r="G24" s="126" t="s">
        <v>440</v>
      </c>
      <c r="H24" s="204"/>
      <c r="I24" s="204">
        <v>0.74299999999999999</v>
      </c>
      <c r="J24" s="204">
        <v>3.5999999999999997E-2</v>
      </c>
      <c r="K24" s="231">
        <f t="shared" si="5"/>
        <v>0.18575000000000003</v>
      </c>
      <c r="L24" s="232">
        <f t="shared" si="3"/>
        <v>0.92874999999999996</v>
      </c>
      <c r="M24" s="233"/>
      <c r="N24" s="251"/>
      <c r="O24" s="233"/>
      <c r="P24" s="234">
        <f t="shared" ca="1" si="6"/>
        <v>0.3</v>
      </c>
      <c r="Q24" s="234">
        <f t="shared" ca="1" si="4"/>
        <v>0.2</v>
      </c>
      <c r="R24" s="233"/>
      <c r="S24" s="235">
        <f t="shared" ca="1" si="7"/>
        <v>0.5</v>
      </c>
    </row>
    <row r="25" spans="2:19" x14ac:dyDescent="0.2">
      <c r="B25" s="62" t="s">
        <v>419</v>
      </c>
      <c r="D25" s="202">
        <f t="shared" si="1"/>
        <v>1.86</v>
      </c>
      <c r="E25" s="262">
        <f t="shared" si="2"/>
        <v>0.35699999999999998</v>
      </c>
      <c r="F25" s="262">
        <f t="shared" si="2"/>
        <v>3.3000000000000002E-2</v>
      </c>
      <c r="G25" s="126" t="s">
        <v>440</v>
      </c>
      <c r="H25" s="204">
        <v>1.86</v>
      </c>
      <c r="I25" s="204">
        <v>0.35699999999999998</v>
      </c>
      <c r="J25" s="204">
        <v>3.3000000000000002E-2</v>
      </c>
      <c r="K25" s="231">
        <f t="shared" si="5"/>
        <v>8.9249999999999996E-2</v>
      </c>
      <c r="L25" s="232">
        <f t="shared" si="3"/>
        <v>0.44624999999999998</v>
      </c>
      <c r="M25" s="233"/>
      <c r="N25" s="251"/>
      <c r="O25" s="233"/>
      <c r="P25" s="234">
        <f t="shared" ca="1" si="6"/>
        <v>0.3</v>
      </c>
      <c r="Q25" s="234">
        <f t="shared" ca="1" si="4"/>
        <v>0.2</v>
      </c>
      <c r="R25" s="233"/>
      <c r="S25" s="235">
        <f t="shared" ca="1" si="7"/>
        <v>0.5</v>
      </c>
    </row>
    <row r="26" spans="2:19" x14ac:dyDescent="0.2">
      <c r="B26" s="62" t="s">
        <v>420</v>
      </c>
      <c r="D26" s="202">
        <f t="shared" si="1"/>
        <v>0.745</v>
      </c>
      <c r="E26" s="262">
        <f t="shared" si="2"/>
        <v>0.36399999999999999</v>
      </c>
      <c r="F26" s="262">
        <f t="shared" si="2"/>
        <v>2.1000000000000001E-2</v>
      </c>
      <c r="G26" s="126" t="s">
        <v>440</v>
      </c>
      <c r="H26" s="204">
        <v>0.745</v>
      </c>
      <c r="I26" s="204">
        <v>0.36399999999999999</v>
      </c>
      <c r="J26" s="204">
        <v>2.1000000000000001E-2</v>
      </c>
      <c r="K26" s="231">
        <f t="shared" si="5"/>
        <v>9.0999999999999998E-2</v>
      </c>
      <c r="L26" s="232">
        <f t="shared" si="3"/>
        <v>0.45499999999999996</v>
      </c>
      <c r="M26" s="233"/>
      <c r="N26" s="251">
        <v>0.5</v>
      </c>
      <c r="O26" s="233"/>
      <c r="P26" s="234">
        <f t="shared" si="6"/>
        <v>0.3</v>
      </c>
      <c r="Q26" s="234">
        <f t="shared" si="4"/>
        <v>0.2</v>
      </c>
      <c r="R26" s="233"/>
      <c r="S26" s="235">
        <f t="shared" si="7"/>
        <v>0.5</v>
      </c>
    </row>
    <row r="27" spans="2:19" x14ac:dyDescent="0.2">
      <c r="B27" s="62" t="s">
        <v>421</v>
      </c>
      <c r="D27" s="202">
        <f t="shared" ca="1" si="1"/>
        <v>1.1691666666666667</v>
      </c>
      <c r="E27" s="262">
        <f t="shared" si="2"/>
        <v>0.504</v>
      </c>
      <c r="F27" s="262">
        <f t="shared" si="2"/>
        <v>0.03</v>
      </c>
      <c r="G27" s="126" t="s">
        <v>440</v>
      </c>
      <c r="H27" s="204"/>
      <c r="I27" s="205">
        <f>(L27/100)*80</f>
        <v>0.504</v>
      </c>
      <c r="J27" s="204">
        <v>0.03</v>
      </c>
      <c r="K27" s="236">
        <f>(L27/100)*20</f>
        <v>0.126</v>
      </c>
      <c r="L27" s="237">
        <v>0.63</v>
      </c>
      <c r="M27" s="233"/>
      <c r="N27" s="251">
        <v>0.59</v>
      </c>
      <c r="O27" s="233"/>
      <c r="P27" s="234">
        <f t="shared" si="6"/>
        <v>0.35399999999999998</v>
      </c>
      <c r="Q27" s="234">
        <f t="shared" si="4"/>
        <v>0.23599999999999999</v>
      </c>
      <c r="R27" s="233"/>
      <c r="S27" s="235">
        <f t="shared" si="7"/>
        <v>0.59</v>
      </c>
    </row>
    <row r="28" spans="2:19" x14ac:dyDescent="0.2">
      <c r="B28" s="62"/>
      <c r="G28" s="73" t="s">
        <v>440</v>
      </c>
      <c r="P28" s="311"/>
    </row>
    <row r="29" spans="2:19" x14ac:dyDescent="0.2">
      <c r="F29" s="196"/>
    </row>
    <row r="30" spans="2:19" x14ac:dyDescent="0.2">
      <c r="F30" s="196"/>
    </row>
    <row r="31" spans="2:19" x14ac:dyDescent="0.2">
      <c r="F31" s="196"/>
    </row>
    <row r="32" spans="2:19" x14ac:dyDescent="0.2">
      <c r="F32" s="196"/>
    </row>
    <row r="33" spans="6:6" x14ac:dyDescent="0.2">
      <c r="F33" s="196"/>
    </row>
    <row r="34" spans="6:6" x14ac:dyDescent="0.2">
      <c r="F34" s="196"/>
    </row>
  </sheetData>
  <sheetProtection algorithmName="SHA-512" hashValue="skdHsttchRjzqzdeteJ2iGxaPjJw4NmybxtEmPHM4Y0KrLBFJWl3J7B6cPIAjg5R49Sln7AdbOqyWzW/C7JmjQ==" saltValue="pb7FkYRD0TkYP10Q3q7WSg==" spinCount="100000" sheet="1" objects="1" scenarios="1" formatCells="0" formatColumns="0" formatRows="0" insertColumns="0" insertRows="0" insertHyperlinks="0"/>
  <conditionalFormatting sqref="A1">
    <cfRule type="containsText" dxfId="10" priority="1" stopIfTrue="1" operator="containsText" text="Err">
      <formula>NOT(ISERROR(SEARCH("Err",A1)))</formula>
    </cfRule>
  </conditionalFormatting>
  <dataValidations count="1">
    <dataValidation type="list" allowBlank="1" showInputMessage="1" showErrorMessage="1" sqref="A1">
      <formula1>l_OKErr</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4"/>
  </sheetPr>
  <dimension ref="A1:E33"/>
  <sheetViews>
    <sheetView zoomScaleNormal="100" workbookViewId="0">
      <selection activeCell="C12" sqref="C12"/>
    </sheetView>
  </sheetViews>
  <sheetFormatPr defaultColWidth="9.140625" defaultRowHeight="12.75" x14ac:dyDescent="0.2"/>
  <cols>
    <col min="1" max="1" width="22.85546875" style="120" bestFit="1" customWidth="1"/>
    <col min="2" max="2" width="85" style="120" customWidth="1"/>
    <col min="3" max="3" width="12.140625" style="120" customWidth="1"/>
    <col min="4" max="4" width="20.42578125" style="162" bestFit="1" customWidth="1"/>
    <col min="5" max="16384" width="9.140625" style="120"/>
  </cols>
  <sheetData>
    <row r="1" spans="1:4" x14ac:dyDescent="0.2">
      <c r="A1" s="81" t="s">
        <v>2</v>
      </c>
      <c r="B1" s="61"/>
      <c r="C1" s="61"/>
    </row>
    <row r="3" spans="1:4" s="73" customFormat="1" ht="15.75" x14ac:dyDescent="0.2">
      <c r="A3" s="101" t="s">
        <v>407</v>
      </c>
      <c r="B3" s="120"/>
      <c r="D3" s="126"/>
    </row>
    <row r="4" spans="1:4" s="73" customFormat="1" x14ac:dyDescent="0.2">
      <c r="A4" s="120"/>
      <c r="B4" s="121" t="s">
        <v>492</v>
      </c>
      <c r="D4" s="126"/>
    </row>
    <row r="5" spans="1:4" s="73" customFormat="1" x14ac:dyDescent="0.2">
      <c r="B5" s="121" t="s">
        <v>493</v>
      </c>
      <c r="D5" s="126"/>
    </row>
    <row r="6" spans="1:4" s="73" customFormat="1" x14ac:dyDescent="0.2">
      <c r="D6" s="126"/>
    </row>
    <row r="7" spans="1:4" s="73" customFormat="1" ht="15" x14ac:dyDescent="0.2">
      <c r="B7" s="165" t="s">
        <v>436</v>
      </c>
      <c r="C7" s="166" t="s">
        <v>408</v>
      </c>
      <c r="D7" s="166" t="s">
        <v>370</v>
      </c>
    </row>
    <row r="8" spans="1:4" s="73" customFormat="1" x14ac:dyDescent="0.2">
      <c r="B8" s="156" t="s">
        <v>454</v>
      </c>
      <c r="C8" s="164">
        <v>0.184</v>
      </c>
      <c r="D8" s="162" t="s">
        <v>446</v>
      </c>
    </row>
    <row r="9" spans="1:4" s="73" customFormat="1" x14ac:dyDescent="0.2">
      <c r="B9" s="156" t="s">
        <v>447</v>
      </c>
      <c r="C9" s="164">
        <v>0.52461999999999998</v>
      </c>
      <c r="D9" s="162" t="s">
        <v>446</v>
      </c>
    </row>
    <row r="10" spans="1:4" s="73" customFormat="1" x14ac:dyDescent="0.2">
      <c r="B10" s="156" t="s">
        <v>489</v>
      </c>
      <c r="C10" s="164">
        <v>365</v>
      </c>
      <c r="D10" s="309" t="s">
        <v>753</v>
      </c>
    </row>
    <row r="11" spans="1:4" s="73" customFormat="1" x14ac:dyDescent="0.2">
      <c r="B11" s="156" t="s">
        <v>473</v>
      </c>
      <c r="C11" s="160">
        <v>4.0000000000000001E-3</v>
      </c>
      <c r="D11" s="162" t="s">
        <v>472</v>
      </c>
    </row>
    <row r="12" spans="1:4" s="73" customFormat="1" x14ac:dyDescent="0.2">
      <c r="B12" s="156" t="s">
        <v>471</v>
      </c>
      <c r="C12" s="160">
        <v>0.35</v>
      </c>
      <c r="D12" s="162" t="s">
        <v>438</v>
      </c>
    </row>
    <row r="13" spans="1:4" s="73" customFormat="1" x14ac:dyDescent="0.2">
      <c r="B13" s="156" t="s">
        <v>470</v>
      </c>
      <c r="C13" s="160">
        <v>0.24</v>
      </c>
      <c r="D13" s="162" t="s">
        <v>438</v>
      </c>
    </row>
    <row r="14" spans="1:4" s="73" customFormat="1" x14ac:dyDescent="0.2">
      <c r="B14" s="156" t="s">
        <v>469</v>
      </c>
      <c r="C14" s="160">
        <v>0.13</v>
      </c>
      <c r="D14" s="162" t="s">
        <v>438</v>
      </c>
    </row>
    <row r="15" spans="1:4" s="73" customFormat="1" x14ac:dyDescent="0.2">
      <c r="B15" s="156" t="s">
        <v>459</v>
      </c>
      <c r="C15" s="160">
        <v>4186</v>
      </c>
      <c r="D15" s="162" t="s">
        <v>458</v>
      </c>
    </row>
    <row r="16" spans="1:4" s="73" customFormat="1" x14ac:dyDescent="0.2">
      <c r="B16" s="156"/>
      <c r="C16" s="156"/>
      <c r="D16" s="156"/>
    </row>
    <row r="17" spans="1:5" s="73" customFormat="1" ht="15" x14ac:dyDescent="0.2">
      <c r="A17" s="346" t="s">
        <v>660</v>
      </c>
      <c r="B17" s="165" t="s">
        <v>653</v>
      </c>
      <c r="C17" s="166" t="s">
        <v>408</v>
      </c>
      <c r="D17" s="166" t="s">
        <v>370</v>
      </c>
      <c r="E17" s="354"/>
    </row>
    <row r="18" spans="1:5" s="73" customFormat="1" x14ac:dyDescent="0.2">
      <c r="B18" s="156" t="s">
        <v>654</v>
      </c>
      <c r="C18" s="212">
        <f>1/3</f>
        <v>0.33333333333333331</v>
      </c>
      <c r="D18" s="512" t="s">
        <v>547</v>
      </c>
      <c r="E18" s="355"/>
    </row>
    <row r="19" spans="1:5" s="73" customFormat="1" ht="25.15" customHeight="1" x14ac:dyDescent="0.2">
      <c r="B19" s="476" t="s">
        <v>658</v>
      </c>
      <c r="C19" s="160">
        <v>225</v>
      </c>
      <c r="D19" s="513" t="s">
        <v>755</v>
      </c>
      <c r="E19" s="355"/>
    </row>
    <row r="20" spans="1:5" s="73" customFormat="1" x14ac:dyDescent="0.2">
      <c r="B20" s="223" t="s">
        <v>659</v>
      </c>
      <c r="C20" s="160">
        <v>2.2999999999999998</v>
      </c>
      <c r="D20" s="512" t="s">
        <v>754</v>
      </c>
    </row>
    <row r="21" spans="1:5" s="73" customFormat="1" x14ac:dyDescent="0.2">
      <c r="B21" s="128" t="s">
        <v>661</v>
      </c>
      <c r="C21" s="347">
        <v>7.4999999999999997E-2</v>
      </c>
      <c r="D21" s="512" t="s">
        <v>547</v>
      </c>
    </row>
    <row r="22" spans="1:5" s="73" customFormat="1" x14ac:dyDescent="0.2">
      <c r="B22" s="223" t="s">
        <v>667</v>
      </c>
      <c r="C22" s="160">
        <v>122</v>
      </c>
      <c r="D22" s="512" t="s">
        <v>756</v>
      </c>
    </row>
    <row r="23" spans="1:5" s="73" customFormat="1" ht="25.15" customHeight="1" x14ac:dyDescent="0.2">
      <c r="B23" s="476" t="s">
        <v>668</v>
      </c>
      <c r="C23" s="474">
        <v>120</v>
      </c>
      <c r="D23" s="512" t="s">
        <v>757</v>
      </c>
    </row>
    <row r="24" spans="1:5" s="73" customFormat="1" x14ac:dyDescent="0.2"/>
    <row r="25" spans="1:5" s="73" customFormat="1" x14ac:dyDescent="0.2"/>
    <row r="26" spans="1:5" x14ac:dyDescent="0.2">
      <c r="D26" s="120"/>
    </row>
    <row r="27" spans="1:5" x14ac:dyDescent="0.2">
      <c r="D27" s="120"/>
    </row>
    <row r="28" spans="1:5" x14ac:dyDescent="0.2">
      <c r="D28" s="120"/>
    </row>
    <row r="29" spans="1:5" x14ac:dyDescent="0.2">
      <c r="D29" s="120"/>
    </row>
    <row r="30" spans="1:5" s="73" customFormat="1" x14ac:dyDescent="0.2"/>
    <row r="31" spans="1:5" s="73" customFormat="1" x14ac:dyDescent="0.2"/>
    <row r="32" spans="1:5" s="73" customFormat="1" x14ac:dyDescent="0.2"/>
    <row r="33" spans="4:4" x14ac:dyDescent="0.2">
      <c r="D33" s="120"/>
    </row>
  </sheetData>
  <sheetProtection algorithmName="SHA-512" hashValue="UPAEhtgq5Uy2XmekyPaxjpyVGlt0QxGV2Cp1PZhVkCzdBriygbAufEtSexd43viS8BO6Hs5YJtPfIbrK1W87Zw==" saltValue="en67py3+/cgPAEAvx3HYIw==" spinCount="100000" sheet="1" objects="1" scenarios="1" formatCells="0" formatColumns="0" formatRows="0" insertColumns="0" insertRows="0" insertHyperlinks="0" autoFilter="0"/>
  <conditionalFormatting sqref="A1">
    <cfRule type="containsText" dxfId="9" priority="1" stopIfTrue="1" operator="containsText" text="Err">
      <formula>NOT(ISERROR(SEARCH("Err",A1)))</formula>
    </cfRule>
  </conditionalFormatting>
  <dataValidations count="1">
    <dataValidation type="list" allowBlank="1" showInputMessage="1" showErrorMessage="1" sqref="A1">
      <formula1>l_OKErr</formula1>
    </dataValidation>
  </dataValidations>
  <pageMargins left="0.7" right="0.7" top="0.75" bottom="0.75" header="0.3" footer="0.3"/>
  <pageSetup paperSize="9"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1" tint="0.499984740745262"/>
  </sheetPr>
  <dimension ref="A1:O45"/>
  <sheetViews>
    <sheetView workbookViewId="0">
      <selection activeCell="D23" sqref="D23:N32"/>
    </sheetView>
  </sheetViews>
  <sheetFormatPr defaultColWidth="9.140625" defaultRowHeight="12.75" x14ac:dyDescent="0.2"/>
  <cols>
    <col min="1" max="1" width="5.7109375" style="18" customWidth="1"/>
    <col min="2" max="4" width="4.7109375" style="18" customWidth="1"/>
    <col min="5" max="5" width="20.28515625" style="18" customWidth="1"/>
    <col min="6" max="7" width="4.7109375" style="18" customWidth="1"/>
    <col min="8" max="8" width="25.85546875" style="18" bestFit="1" customWidth="1"/>
    <col min="9" max="10" width="4.7109375" style="18" customWidth="1"/>
    <col min="11" max="11" width="20.28515625" style="18" customWidth="1"/>
    <col min="12" max="13" width="4.7109375" style="18" customWidth="1"/>
    <col min="14" max="14" width="25.85546875" style="18" bestFit="1" customWidth="1"/>
    <col min="15" max="15" width="4.7109375" style="18" customWidth="1"/>
    <col min="16" max="16384" width="9.140625" style="18"/>
  </cols>
  <sheetData>
    <row r="1" spans="1:15" ht="13.5" thickBot="1" x14ac:dyDescent="0.25">
      <c r="A1" s="75" t="s">
        <v>2</v>
      </c>
    </row>
    <row r="2" spans="1:15" x14ac:dyDescent="0.2">
      <c r="C2" s="19"/>
      <c r="D2" s="20"/>
      <c r="E2" s="20"/>
      <c r="F2" s="20"/>
      <c r="G2" s="20"/>
      <c r="H2" s="20"/>
      <c r="I2" s="20"/>
      <c r="J2" s="20"/>
      <c r="K2" s="20"/>
      <c r="L2" s="20"/>
      <c r="M2" s="20"/>
      <c r="N2" s="20"/>
      <c r="O2" s="21"/>
    </row>
    <row r="3" spans="1:15" ht="15.75" x14ac:dyDescent="0.25">
      <c r="C3" s="23"/>
      <c r="D3" s="68" t="s">
        <v>10</v>
      </c>
      <c r="E3" s="24"/>
      <c r="F3" s="24"/>
      <c r="G3" s="24"/>
      <c r="H3" s="24"/>
      <c r="I3" s="24"/>
      <c r="J3" s="24"/>
      <c r="K3" s="24"/>
      <c r="L3" s="24"/>
      <c r="M3" s="24"/>
      <c r="N3" s="24"/>
      <c r="O3" s="25"/>
    </row>
    <row r="4" spans="1:15" ht="15" x14ac:dyDescent="0.25">
      <c r="C4" s="23"/>
      <c r="D4" s="24"/>
      <c r="E4" s="69" t="s">
        <v>14</v>
      </c>
      <c r="F4" s="69"/>
      <c r="G4" s="69"/>
      <c r="H4" s="69" t="s">
        <v>401</v>
      </c>
      <c r="I4" s="69"/>
      <c r="J4" s="69"/>
      <c r="K4" s="116" t="s">
        <v>390</v>
      </c>
      <c r="L4" s="116"/>
      <c r="M4" s="116"/>
      <c r="N4" s="116"/>
      <c r="O4" s="25"/>
    </row>
    <row r="5" spans="1:15" x14ac:dyDescent="0.2">
      <c r="C5" s="23"/>
      <c r="D5" s="24"/>
      <c r="E5" s="103" t="s">
        <v>15</v>
      </c>
      <c r="F5" s="24"/>
      <c r="G5" s="24"/>
      <c r="H5" s="104"/>
      <c r="I5" s="24"/>
      <c r="J5" s="24"/>
      <c r="K5" s="102" t="s">
        <v>402</v>
      </c>
      <c r="L5" s="102"/>
      <c r="M5" s="102"/>
      <c r="N5" s="102"/>
      <c r="O5" s="25"/>
    </row>
    <row r="6" spans="1:15" x14ac:dyDescent="0.2">
      <c r="C6" s="23"/>
      <c r="D6" s="24"/>
      <c r="E6" s="105" t="s">
        <v>27</v>
      </c>
      <c r="F6" s="24"/>
      <c r="G6" s="24"/>
      <c r="H6" s="109" t="s">
        <v>398</v>
      </c>
      <c r="I6" s="24"/>
      <c r="J6" s="24"/>
      <c r="K6" s="102" t="s">
        <v>405</v>
      </c>
      <c r="L6" s="102"/>
      <c r="M6" s="102"/>
      <c r="N6" s="102"/>
      <c r="O6" s="25"/>
    </row>
    <row r="7" spans="1:15" x14ac:dyDescent="0.2">
      <c r="C7" s="23"/>
      <c r="D7" s="24"/>
      <c r="E7" s="106" t="s">
        <v>388</v>
      </c>
      <c r="F7" s="24"/>
      <c r="G7" s="24"/>
      <c r="H7" s="111" t="s">
        <v>399</v>
      </c>
      <c r="I7" s="24"/>
      <c r="J7" s="24"/>
      <c r="K7" s="102" t="s">
        <v>386</v>
      </c>
      <c r="L7" s="102"/>
      <c r="M7" s="102"/>
      <c r="N7" s="102"/>
      <c r="O7" s="25"/>
    </row>
    <row r="8" spans="1:15" x14ac:dyDescent="0.2">
      <c r="C8" s="23"/>
      <c r="D8" s="24"/>
      <c r="E8" s="24"/>
      <c r="F8" s="24"/>
      <c r="G8" s="24"/>
      <c r="H8" s="112" t="s">
        <v>400</v>
      </c>
      <c r="I8" s="24"/>
      <c r="J8" s="24"/>
      <c r="K8" s="102" t="s">
        <v>391</v>
      </c>
      <c r="L8" s="102"/>
      <c r="M8" s="102"/>
      <c r="N8" s="102"/>
      <c r="O8" s="25"/>
    </row>
    <row r="9" spans="1:15" x14ac:dyDescent="0.2">
      <c r="C9" s="23"/>
      <c r="D9" s="24"/>
      <c r="E9" s="24"/>
      <c r="F9" s="24"/>
      <c r="G9" s="24"/>
      <c r="H9" s="78" t="s">
        <v>383</v>
      </c>
      <c r="I9" s="24"/>
      <c r="J9" s="24"/>
      <c r="K9" s="102" t="s">
        <v>404</v>
      </c>
      <c r="L9" s="102"/>
      <c r="M9" s="102"/>
      <c r="N9" s="102"/>
      <c r="O9" s="25"/>
    </row>
    <row r="10" spans="1:15" x14ac:dyDescent="0.2">
      <c r="C10" s="23"/>
      <c r="D10" s="24"/>
      <c r="E10" s="107" t="s">
        <v>16</v>
      </c>
      <c r="F10" s="24"/>
      <c r="G10" s="24"/>
      <c r="H10" s="113" t="s">
        <v>16</v>
      </c>
      <c r="I10" s="24"/>
      <c r="J10" s="24"/>
      <c r="K10" s="102" t="s">
        <v>392</v>
      </c>
      <c r="L10" s="102"/>
      <c r="M10" s="102"/>
      <c r="N10" s="102"/>
      <c r="O10" s="25"/>
    </row>
    <row r="11" spans="1:15" x14ac:dyDescent="0.2">
      <c r="C11" s="23"/>
      <c r="D11" s="24"/>
      <c r="E11" s="24"/>
      <c r="F11" s="24"/>
      <c r="G11" s="24"/>
      <c r="H11" s="110" t="s">
        <v>384</v>
      </c>
      <c r="I11" s="24"/>
      <c r="J11" s="24"/>
      <c r="K11" s="102" t="s">
        <v>387</v>
      </c>
      <c r="L11" s="102"/>
      <c r="M11" s="102"/>
      <c r="N11" s="102"/>
      <c r="O11" s="25"/>
    </row>
    <row r="12" spans="1:15" x14ac:dyDescent="0.2">
      <c r="C12" s="23"/>
      <c r="D12" s="24"/>
      <c r="E12" s="108" t="s">
        <v>17</v>
      </c>
      <c r="F12" s="24"/>
      <c r="G12" s="24"/>
      <c r="H12" s="114" t="s">
        <v>385</v>
      </c>
      <c r="I12" s="24"/>
      <c r="J12" s="24"/>
      <c r="K12" s="102" t="s">
        <v>18</v>
      </c>
      <c r="L12" s="102"/>
      <c r="M12" s="102"/>
      <c r="N12" s="102"/>
      <c r="O12" s="25"/>
    </row>
    <row r="13" spans="1:15" x14ac:dyDescent="0.2">
      <c r="C13" s="23"/>
      <c r="D13" s="24"/>
      <c r="E13" s="118" t="s">
        <v>19</v>
      </c>
      <c r="F13" s="24"/>
      <c r="G13" s="24"/>
      <c r="H13" s="115" t="s">
        <v>393</v>
      </c>
      <c r="I13" s="24"/>
      <c r="J13" s="24"/>
      <c r="K13" s="102" t="s">
        <v>394</v>
      </c>
      <c r="L13" s="102"/>
      <c r="M13" s="102"/>
      <c r="N13" s="102"/>
      <c r="O13" s="25"/>
    </row>
    <row r="14" spans="1:15" x14ac:dyDescent="0.2">
      <c r="C14" s="23"/>
      <c r="D14" s="24"/>
      <c r="E14" s="119" t="s">
        <v>11</v>
      </c>
      <c r="F14" s="24"/>
      <c r="G14" s="24"/>
      <c r="H14" s="18" t="s">
        <v>11</v>
      </c>
      <c r="I14" s="24"/>
      <c r="J14" s="24"/>
      <c r="K14" s="102" t="s">
        <v>395</v>
      </c>
      <c r="L14" s="102"/>
      <c r="M14" s="102"/>
      <c r="N14" s="102"/>
      <c r="O14" s="25"/>
    </row>
    <row r="15" spans="1:15" x14ac:dyDescent="0.2">
      <c r="C15" s="23"/>
      <c r="D15" s="24"/>
      <c r="E15" s="24"/>
      <c r="F15" s="24"/>
      <c r="G15" s="24"/>
      <c r="H15" s="79" t="s">
        <v>396</v>
      </c>
      <c r="I15" s="24"/>
      <c r="J15" s="24"/>
      <c r="K15" s="102" t="s">
        <v>12</v>
      </c>
      <c r="L15" s="102"/>
      <c r="M15" s="102"/>
      <c r="N15" s="102"/>
      <c r="O15" s="25"/>
    </row>
    <row r="16" spans="1:15" x14ac:dyDescent="0.2">
      <c r="C16" s="23"/>
      <c r="D16" s="24"/>
      <c r="E16" s="24"/>
      <c r="F16" s="24"/>
      <c r="G16" s="24"/>
      <c r="H16" s="80" t="s">
        <v>397</v>
      </c>
      <c r="I16" s="24"/>
      <c r="J16" s="24"/>
      <c r="K16" s="102" t="s">
        <v>13</v>
      </c>
      <c r="L16" s="102"/>
      <c r="M16" s="102"/>
      <c r="N16" s="102"/>
      <c r="O16" s="25"/>
    </row>
    <row r="17" spans="3:15" ht="13.5" thickBot="1" x14ac:dyDescent="0.25">
      <c r="C17" s="26"/>
      <c r="D17" s="27"/>
      <c r="E17" s="27"/>
      <c r="F17" s="27"/>
      <c r="G17" s="27"/>
      <c r="H17" s="27"/>
      <c r="I17" s="27"/>
      <c r="J17" s="27"/>
      <c r="K17" s="27"/>
      <c r="L17" s="27"/>
      <c r="M17" s="27"/>
      <c r="N17" s="27"/>
      <c r="O17" s="28"/>
    </row>
    <row r="18" spans="3:15" ht="13.5" thickBot="1" x14ac:dyDescent="0.25"/>
    <row r="19" spans="3:15" x14ac:dyDescent="0.2">
      <c r="C19" s="259" t="str">
        <f ca="1">(MID(CELL("filename",$A$1),FIND("]",CELL("filename",$A$1))+1,31))</f>
        <v>Key, Version Control and Errors</v>
      </c>
      <c r="D19" s="20"/>
      <c r="E19" s="20"/>
      <c r="F19" s="569" t="s">
        <v>21</v>
      </c>
      <c r="G19" s="569" t="s">
        <v>22</v>
      </c>
      <c r="H19" s="20"/>
      <c r="I19" s="20"/>
      <c r="J19" s="20"/>
      <c r="K19" s="20"/>
      <c r="L19" s="20"/>
      <c r="M19" s="20"/>
      <c r="N19" s="20"/>
      <c r="O19" s="21"/>
    </row>
    <row r="20" spans="3:15" ht="15.75" customHeight="1" x14ac:dyDescent="0.25">
      <c r="C20" s="23"/>
      <c r="D20" s="68" t="s">
        <v>20</v>
      </c>
      <c r="E20" s="24"/>
      <c r="F20" s="570"/>
      <c r="G20" s="570"/>
      <c r="H20" s="24"/>
      <c r="I20" s="24"/>
      <c r="J20" s="24"/>
      <c r="K20" s="24"/>
      <c r="L20" s="24"/>
      <c r="M20" s="24"/>
      <c r="N20" s="24"/>
      <c r="O20" s="25"/>
    </row>
    <row r="21" spans="3:15" ht="21.75" customHeight="1" x14ac:dyDescent="0.25">
      <c r="C21" s="23"/>
      <c r="D21" s="70" t="s">
        <v>403</v>
      </c>
      <c r="E21" s="70" t="s">
        <v>0</v>
      </c>
      <c r="F21" s="571"/>
      <c r="G21" s="571"/>
      <c r="H21" s="116" t="s">
        <v>23</v>
      </c>
      <c r="I21" s="70"/>
      <c r="J21" s="70"/>
      <c r="K21" s="70"/>
      <c r="L21" s="70"/>
      <c r="M21" s="70"/>
      <c r="N21" s="70"/>
      <c r="O21" s="25"/>
    </row>
    <row r="22" spans="3:15" x14ac:dyDescent="0.2">
      <c r="C22" s="117"/>
      <c r="D22" s="82" t="s">
        <v>575</v>
      </c>
      <c r="E22" s="84">
        <v>42157.185682870368</v>
      </c>
      <c r="F22" s="84" t="s">
        <v>575</v>
      </c>
      <c r="G22" s="82" t="s">
        <v>575</v>
      </c>
      <c r="H22" s="86" t="s">
        <v>575</v>
      </c>
      <c r="I22" s="87"/>
      <c r="J22" s="87"/>
      <c r="K22" s="87"/>
      <c r="L22" s="85"/>
      <c r="M22" s="85"/>
      <c r="N22" s="83"/>
      <c r="O22" s="25"/>
    </row>
    <row r="23" spans="3:15" x14ac:dyDescent="0.2">
      <c r="C23" s="23"/>
      <c r="D23" s="88" t="s">
        <v>765</v>
      </c>
      <c r="E23" s="90">
        <v>42151.800057870372</v>
      </c>
      <c r="F23" s="90" t="s">
        <v>766</v>
      </c>
      <c r="G23" s="88" t="s">
        <v>766</v>
      </c>
      <c r="H23" s="92" t="s">
        <v>575</v>
      </c>
      <c r="I23" s="93"/>
      <c r="J23" s="93"/>
      <c r="K23" s="93"/>
      <c r="L23" s="91"/>
      <c r="M23" s="91"/>
      <c r="N23" s="89"/>
      <c r="O23" s="25"/>
    </row>
    <row r="24" spans="3:15" x14ac:dyDescent="0.2">
      <c r="C24" s="23"/>
      <c r="D24" s="88" t="s">
        <v>575</v>
      </c>
      <c r="E24" s="90">
        <v>42151.799016203702</v>
      </c>
      <c r="F24" s="90" t="s">
        <v>575</v>
      </c>
      <c r="G24" s="88" t="s">
        <v>575</v>
      </c>
      <c r="H24" s="92" t="s">
        <v>575</v>
      </c>
      <c r="I24" s="93"/>
      <c r="J24" s="93"/>
      <c r="K24" s="93"/>
      <c r="L24" s="91"/>
      <c r="M24" s="91"/>
      <c r="N24" s="89"/>
      <c r="O24" s="25"/>
    </row>
    <row r="25" spans="3:15" x14ac:dyDescent="0.2">
      <c r="C25" s="23"/>
      <c r="D25" s="88" t="s">
        <v>763</v>
      </c>
      <c r="E25" s="90">
        <v>42104.308831018519</v>
      </c>
      <c r="F25" s="90" t="s">
        <v>635</v>
      </c>
      <c r="G25" s="88" t="s">
        <v>237</v>
      </c>
      <c r="H25" s="92" t="s">
        <v>764</v>
      </c>
      <c r="I25" s="93"/>
      <c r="J25" s="93"/>
      <c r="K25" s="93"/>
      <c r="L25" s="91"/>
      <c r="M25" s="91"/>
      <c r="N25" s="89"/>
      <c r="O25" s="25"/>
    </row>
    <row r="26" spans="3:15" x14ac:dyDescent="0.2">
      <c r="C26" s="23"/>
      <c r="D26" s="88" t="s">
        <v>760</v>
      </c>
      <c r="E26" s="90">
        <v>42103.938356481478</v>
      </c>
      <c r="F26" s="90" t="s">
        <v>635</v>
      </c>
      <c r="G26" s="88" t="s">
        <v>237</v>
      </c>
      <c r="H26" s="92" t="s">
        <v>761</v>
      </c>
      <c r="I26" s="93"/>
      <c r="J26" s="93"/>
      <c r="K26" s="93"/>
      <c r="L26" s="91"/>
      <c r="M26" s="91"/>
      <c r="N26" s="89"/>
      <c r="O26" s="25"/>
    </row>
    <row r="27" spans="3:15" x14ac:dyDescent="0.2">
      <c r="C27" s="23"/>
      <c r="D27" s="88" t="s">
        <v>575</v>
      </c>
      <c r="E27" s="90">
        <v>42103.931284722225</v>
      </c>
      <c r="F27" s="90" t="s">
        <v>575</v>
      </c>
      <c r="G27" s="88" t="s">
        <v>575</v>
      </c>
      <c r="H27" s="92" t="s">
        <v>575</v>
      </c>
      <c r="I27" s="93"/>
      <c r="J27" s="93"/>
      <c r="K27" s="93"/>
      <c r="L27" s="91"/>
      <c r="M27" s="91"/>
      <c r="N27" s="89"/>
      <c r="O27" s="25"/>
    </row>
    <row r="28" spans="3:15" x14ac:dyDescent="0.2">
      <c r="C28" s="23"/>
      <c r="D28" s="88" t="s">
        <v>758</v>
      </c>
      <c r="E28" s="90">
        <v>42103.930844907409</v>
      </c>
      <c r="F28" s="90" t="s">
        <v>635</v>
      </c>
      <c r="G28" s="88" t="s">
        <v>237</v>
      </c>
      <c r="H28" s="92" t="s">
        <v>759</v>
      </c>
      <c r="I28" s="93"/>
      <c r="J28" s="93"/>
      <c r="K28" s="93"/>
      <c r="L28" s="91"/>
      <c r="M28" s="91"/>
      <c r="N28" s="89"/>
      <c r="O28" s="25"/>
    </row>
    <row r="29" spans="3:15" x14ac:dyDescent="0.2">
      <c r="C29" s="23"/>
      <c r="D29" s="88"/>
      <c r="E29" s="90"/>
      <c r="F29" s="90"/>
      <c r="G29" s="88"/>
      <c r="H29" s="92"/>
      <c r="I29" s="93"/>
      <c r="J29" s="93"/>
      <c r="K29" s="93"/>
      <c r="L29" s="91"/>
      <c r="M29" s="91"/>
      <c r="N29" s="89"/>
      <c r="O29" s="25"/>
    </row>
    <row r="30" spans="3:15" x14ac:dyDescent="0.2">
      <c r="C30" s="23"/>
      <c r="D30" s="88"/>
      <c r="E30" s="90"/>
      <c r="F30" s="90"/>
      <c r="G30" s="88"/>
      <c r="H30" s="92"/>
      <c r="I30" s="93"/>
      <c r="J30" s="93"/>
      <c r="K30" s="93"/>
      <c r="L30" s="91"/>
      <c r="M30" s="91"/>
      <c r="N30" s="89"/>
      <c r="O30" s="25"/>
    </row>
    <row r="31" spans="3:15" x14ac:dyDescent="0.2">
      <c r="C31" s="23"/>
      <c r="D31" s="88"/>
      <c r="E31" s="90"/>
      <c r="F31" s="90"/>
      <c r="G31" s="88"/>
      <c r="H31" s="92"/>
      <c r="I31" s="93"/>
      <c r="J31" s="93"/>
      <c r="K31" s="93"/>
      <c r="L31" s="91"/>
      <c r="M31" s="91"/>
      <c r="N31" s="89"/>
      <c r="O31" s="25"/>
    </row>
    <row r="32" spans="3:15" x14ac:dyDescent="0.2">
      <c r="C32" s="23"/>
      <c r="D32" s="88"/>
      <c r="E32" s="90"/>
      <c r="F32" s="90"/>
      <c r="G32" s="88"/>
      <c r="H32" s="92"/>
      <c r="I32" s="93"/>
      <c r="J32" s="93"/>
      <c r="K32" s="93"/>
      <c r="L32" s="91"/>
      <c r="M32" s="91"/>
      <c r="N32" s="89"/>
      <c r="O32" s="25"/>
    </row>
    <row r="33" spans="3:15" ht="13.5" thickBot="1" x14ac:dyDescent="0.25">
      <c r="C33" s="26"/>
      <c r="D33" s="27"/>
      <c r="E33" s="27"/>
      <c r="F33" s="27"/>
      <c r="G33" s="27"/>
      <c r="H33" s="27"/>
      <c r="I33" s="27"/>
      <c r="J33" s="27"/>
      <c r="K33" s="27"/>
      <c r="L33" s="27"/>
      <c r="M33" s="27"/>
      <c r="N33" s="27"/>
      <c r="O33" s="28"/>
    </row>
    <row r="34" spans="3:15" ht="13.5" thickBot="1" x14ac:dyDescent="0.25"/>
    <row r="35" spans="3:15" x14ac:dyDescent="0.2">
      <c r="C35" s="22"/>
      <c r="D35" s="20"/>
      <c r="E35" s="20"/>
      <c r="F35" s="20"/>
      <c r="G35" s="20"/>
      <c r="H35" s="20"/>
      <c r="I35" s="20"/>
      <c r="J35" s="20"/>
      <c r="K35" s="20"/>
      <c r="L35" s="20"/>
      <c r="M35" s="20"/>
      <c r="N35" s="20"/>
      <c r="O35" s="21"/>
    </row>
    <row r="36" spans="3:15" ht="15.75" x14ac:dyDescent="0.25">
      <c r="C36" s="23"/>
      <c r="D36" s="68" t="s">
        <v>411</v>
      </c>
      <c r="E36" s="24"/>
      <c r="F36" s="24"/>
      <c r="G36" s="24"/>
      <c r="H36" s="24"/>
      <c r="I36" s="24"/>
      <c r="J36" s="24"/>
      <c r="K36" s="24"/>
      <c r="L36" s="133"/>
      <c r="M36" s="130" t="str">
        <f t="array" aca="1" ref="M36" ca="1">IF( (COUNTIF($D$39:$N$44,"Err") + SUM(ISERROR($D$39:$N$44)*1)) &gt; 0, "Err","OK")</f>
        <v>OK</v>
      </c>
      <c r="N36" s="133" t="s">
        <v>410</v>
      </c>
      <c r="O36" s="25"/>
    </row>
    <row r="37" spans="3:15" x14ac:dyDescent="0.2">
      <c r="C37" s="23"/>
      <c r="D37" s="24"/>
      <c r="E37" s="131"/>
      <c r="F37" s="132"/>
      <c r="G37" s="132"/>
      <c r="H37" s="131"/>
      <c r="I37" s="132"/>
      <c r="J37" s="132"/>
      <c r="K37" s="131"/>
      <c r="L37" s="131"/>
      <c r="M37" s="131"/>
      <c r="N37" s="131"/>
      <c r="O37" s="25"/>
    </row>
    <row r="38" spans="3:15" x14ac:dyDescent="0.2">
      <c r="C38" s="23"/>
      <c r="D38" s="24"/>
      <c r="E38" s="131" t="s">
        <v>409</v>
      </c>
      <c r="F38" s="132"/>
      <c r="G38" s="132"/>
      <c r="H38" s="131" t="s">
        <v>409</v>
      </c>
      <c r="I38" s="132"/>
      <c r="J38" s="132"/>
      <c r="K38" s="131" t="s">
        <v>409</v>
      </c>
      <c r="L38" s="131"/>
      <c r="M38" s="132"/>
      <c r="N38" s="131" t="s">
        <v>409</v>
      </c>
      <c r="O38" s="25"/>
    </row>
    <row r="39" spans="3:15" x14ac:dyDescent="0.2">
      <c r="C39" s="23"/>
      <c r="D39" s="130" t="str">
        <f t="shared" ref="D39:D44" ca="1" si="0">IF($E39="","OK",INDIRECT("'"&amp;$E39&amp;"'!A1"))</f>
        <v>OK</v>
      </c>
      <c r="E39" s="129" t="s">
        <v>412</v>
      </c>
      <c r="F39" s="24"/>
      <c r="G39" s="130" t="str">
        <f t="shared" ref="G39:G44" ca="1" si="1">IF($H39="","OK",INDIRECT("'"&amp;$H39&amp;"'!A1"))</f>
        <v>OK</v>
      </c>
      <c r="H39" s="129" t="s">
        <v>501</v>
      </c>
      <c r="I39" s="24"/>
      <c r="J39" s="130" t="str">
        <f t="shared" ref="J39:J44" ca="1" si="2">IF($K39="","OK",INDIRECT("'"&amp;$K39&amp;"'!A1"))</f>
        <v>OK</v>
      </c>
      <c r="K39" s="129" t="s">
        <v>487</v>
      </c>
      <c r="L39" s="129"/>
      <c r="M39" s="130" t="str">
        <f t="shared" ref="M39:M44" ca="1" si="3">IF($N39="","OK",INDIRECT("'"&amp;$N39&amp;"'!A1"))</f>
        <v>OK</v>
      </c>
      <c r="N39" s="129" t="s">
        <v>526</v>
      </c>
      <c r="O39" s="25"/>
    </row>
    <row r="40" spans="3:15" x14ac:dyDescent="0.2">
      <c r="C40" s="23"/>
      <c r="D40" s="130" t="str">
        <f t="shared" ca="1" si="0"/>
        <v>OK</v>
      </c>
      <c r="E40" s="129" t="s">
        <v>527</v>
      </c>
      <c r="F40" s="24"/>
      <c r="G40" s="130" t="str">
        <f t="shared" ca="1" si="1"/>
        <v>OK</v>
      </c>
      <c r="H40" s="129" t="s">
        <v>636</v>
      </c>
      <c r="I40" s="24"/>
      <c r="J40" s="130" t="str">
        <f t="shared" ca="1" si="2"/>
        <v>OK</v>
      </c>
      <c r="K40" s="129" t="s">
        <v>500</v>
      </c>
      <c r="L40" s="129"/>
      <c r="M40" s="130" t="str">
        <f t="shared" ca="1" si="3"/>
        <v>OK</v>
      </c>
      <c r="N40" s="129"/>
      <c r="O40" s="25"/>
    </row>
    <row r="41" spans="3:15" x14ac:dyDescent="0.2">
      <c r="C41" s="23"/>
      <c r="D41" s="130" t="str">
        <f t="shared" ca="1" si="0"/>
        <v>OK</v>
      </c>
      <c r="E41" s="129"/>
      <c r="F41" s="24"/>
      <c r="G41" s="130" t="str">
        <f t="shared" ca="1" si="1"/>
        <v>OK</v>
      </c>
      <c r="H41" s="129"/>
      <c r="I41" s="24"/>
      <c r="J41" s="130" t="str">
        <f t="shared" ca="1" si="2"/>
        <v>OK</v>
      </c>
      <c r="K41" s="129"/>
      <c r="L41" s="129"/>
      <c r="M41" s="130" t="str">
        <f t="shared" ca="1" si="3"/>
        <v>OK</v>
      </c>
      <c r="N41" s="129"/>
      <c r="O41" s="25"/>
    </row>
    <row r="42" spans="3:15" x14ac:dyDescent="0.2">
      <c r="C42" s="23"/>
      <c r="D42" s="130" t="str">
        <f t="shared" ca="1" si="0"/>
        <v>OK</v>
      </c>
      <c r="E42" s="129"/>
      <c r="F42" s="24"/>
      <c r="G42" s="130" t="str">
        <f t="shared" ca="1" si="1"/>
        <v>OK</v>
      </c>
      <c r="H42" s="129"/>
      <c r="I42" s="24"/>
      <c r="J42" s="130" t="str">
        <f t="shared" ca="1" si="2"/>
        <v>OK</v>
      </c>
      <c r="K42" s="129"/>
      <c r="L42" s="129"/>
      <c r="M42" s="130" t="str">
        <f t="shared" ca="1" si="3"/>
        <v>OK</v>
      </c>
      <c r="N42" s="129"/>
      <c r="O42" s="25"/>
    </row>
    <row r="43" spans="3:15" x14ac:dyDescent="0.2">
      <c r="C43" s="23"/>
      <c r="D43" s="130" t="str">
        <f t="shared" ca="1" si="0"/>
        <v>OK</v>
      </c>
      <c r="E43" s="129"/>
      <c r="F43" s="24"/>
      <c r="G43" s="130" t="str">
        <f t="shared" ca="1" si="1"/>
        <v>OK</v>
      </c>
      <c r="H43" s="129"/>
      <c r="I43" s="24"/>
      <c r="J43" s="130" t="str">
        <f t="shared" ca="1" si="2"/>
        <v>OK</v>
      </c>
      <c r="K43" s="129"/>
      <c r="L43" s="129"/>
      <c r="M43" s="130" t="str">
        <f t="shared" ca="1" si="3"/>
        <v>OK</v>
      </c>
      <c r="N43" s="129"/>
      <c r="O43" s="25"/>
    </row>
    <row r="44" spans="3:15" x14ac:dyDescent="0.2">
      <c r="C44" s="23"/>
      <c r="D44" s="130" t="str">
        <f t="shared" ca="1" si="0"/>
        <v>OK</v>
      </c>
      <c r="E44" s="129"/>
      <c r="F44" s="24"/>
      <c r="G44" s="130" t="str">
        <f t="shared" ca="1" si="1"/>
        <v>OK</v>
      </c>
      <c r="H44" s="129"/>
      <c r="I44" s="24"/>
      <c r="J44" s="130" t="str">
        <f t="shared" ca="1" si="2"/>
        <v>OK</v>
      </c>
      <c r="K44" s="129"/>
      <c r="L44" s="129"/>
      <c r="M44" s="130" t="str">
        <f t="shared" ca="1" si="3"/>
        <v>OK</v>
      </c>
      <c r="N44" s="129"/>
      <c r="O44" s="25"/>
    </row>
    <row r="45" spans="3:15" ht="13.5" thickBot="1" x14ac:dyDescent="0.25">
      <c r="C45" s="26"/>
      <c r="D45" s="27"/>
      <c r="E45" s="27"/>
      <c r="F45" s="27"/>
      <c r="G45" s="27"/>
      <c r="H45" s="27"/>
      <c r="I45" s="27"/>
      <c r="J45" s="27"/>
      <c r="K45" s="27"/>
      <c r="L45" s="27"/>
      <c r="M45" s="27"/>
      <c r="N45" s="27"/>
      <c r="O45" s="28"/>
    </row>
  </sheetData>
  <sheetProtection sheet="1" objects="1" scenarios="1" formatCells="0" formatColumns="0" formatRows="0" insertColumns="0" insertRows="0" insertHyperlinks="0" deleteColumns="0" deleteRows="0" autoFilter="0"/>
  <sortState ref="D23:H26">
    <sortCondition descending="1" ref="D23"/>
  </sortState>
  <mergeCells count="2">
    <mergeCell ref="F19:F21"/>
    <mergeCell ref="G19:G21"/>
  </mergeCells>
  <conditionalFormatting sqref="A1">
    <cfRule type="containsText" dxfId="8" priority="12" stopIfTrue="1" operator="containsText" text="Err">
      <formula>NOT(ISERROR(SEARCH("Err",A1)))</formula>
    </cfRule>
  </conditionalFormatting>
  <conditionalFormatting sqref="H16">
    <cfRule type="containsText" dxfId="7" priority="11" stopIfTrue="1" operator="containsText" text="Err">
      <formula>NOT(ISERROR(SEARCH("Err",H16)))</formula>
    </cfRule>
  </conditionalFormatting>
  <conditionalFormatting sqref="D39:D44">
    <cfRule type="containsText" dxfId="6" priority="5" stopIfTrue="1" operator="containsText" text="Err">
      <formula>NOT(ISERROR(SEARCH("Err",D39)))</formula>
    </cfRule>
  </conditionalFormatting>
  <conditionalFormatting sqref="M36">
    <cfRule type="containsText" dxfId="5" priority="4" stopIfTrue="1" operator="containsText" text="Err">
      <formula>NOT(ISERROR(SEARCH("Err",M36)))</formula>
    </cfRule>
  </conditionalFormatting>
  <conditionalFormatting sqref="J39:J44">
    <cfRule type="containsText" dxfId="4" priority="2" stopIfTrue="1" operator="containsText" text="Err">
      <formula>NOT(ISERROR(SEARCH("Err",J39)))</formula>
    </cfRule>
  </conditionalFormatting>
  <conditionalFormatting sqref="G39:G44">
    <cfRule type="containsText" dxfId="3" priority="3" stopIfTrue="1" operator="containsText" text="Err">
      <formula>NOT(ISERROR(SEARCH("Err",G39)))</formula>
    </cfRule>
  </conditionalFormatting>
  <conditionalFormatting sqref="M39:M44">
    <cfRule type="containsText" dxfId="2" priority="1" stopIfTrue="1" operator="containsText" text="Err">
      <formula>NOT(ISERROR(SEARCH("Err",M39)))</formula>
    </cfRule>
  </conditionalFormatting>
  <dataValidations count="2">
    <dataValidation type="list" allowBlank="1" showInputMessage="1" showErrorMessage="1" sqref="A1">
      <formula1>l_OKErr</formula1>
    </dataValidation>
    <dataValidation type="list" allowBlank="1" showInputMessage="1" showErrorMessage="1" sqref="D39:D44 G39:G44 M39:M44 J39:J44">
      <formula1>l_Status</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1" tint="0.499984740745262"/>
  </sheetPr>
  <dimension ref="A1:H268"/>
  <sheetViews>
    <sheetView workbookViewId="0">
      <pane ySplit="12" topLeftCell="A13" activePane="bottomLeft" state="frozen"/>
      <selection activeCell="H24" sqref="H24"/>
      <selection pane="bottomLeft" activeCell="H22" sqref="H22"/>
    </sheetView>
  </sheetViews>
  <sheetFormatPr defaultColWidth="9.140625" defaultRowHeight="12.75" x14ac:dyDescent="0.2"/>
  <cols>
    <col min="1" max="1" width="4.85546875" style="62" customWidth="1"/>
    <col min="2" max="2" width="19.85546875" style="62" customWidth="1"/>
    <col min="3" max="3" width="25.7109375" style="62" bestFit="1" customWidth="1"/>
    <col min="4" max="4" width="6" style="65" bestFit="1" customWidth="1"/>
    <col min="5" max="5" width="13.85546875" style="62" bestFit="1" customWidth="1"/>
    <col min="6" max="6" width="13.42578125" style="62" bestFit="1" customWidth="1"/>
    <col min="7" max="8" width="25" style="62" bestFit="1" customWidth="1"/>
    <col min="9" max="16384" width="9.140625" style="62"/>
  </cols>
  <sheetData>
    <row r="1" spans="1:8" x14ac:dyDescent="0.2">
      <c r="A1" s="74" t="s">
        <v>2</v>
      </c>
    </row>
    <row r="2" spans="1:8" x14ac:dyDescent="0.2">
      <c r="B2" s="96" t="s">
        <v>406</v>
      </c>
    </row>
    <row r="3" spans="1:8" s="63" customFormat="1" ht="15.75" x14ac:dyDescent="0.2">
      <c r="A3" s="71" t="s">
        <v>28</v>
      </c>
      <c r="D3" s="134"/>
    </row>
    <row r="4" spans="1:8" x14ac:dyDescent="0.2">
      <c r="A4" s="64" t="s">
        <v>29</v>
      </c>
      <c r="B4" s="62" t="s">
        <v>30</v>
      </c>
      <c r="C4" s="184" t="s">
        <v>521</v>
      </c>
      <c r="F4" s="124">
        <f>COLUMNS($E$12:$IV$12)-COUNTBLANK($E$12:$IV$12)</f>
        <v>4</v>
      </c>
      <c r="G4" s="124" t="str">
        <f ca="1">INDEX(l_Cols,COLUMN($D$11)+$F$5)</f>
        <v>E</v>
      </c>
    </row>
    <row r="5" spans="1:8" x14ac:dyDescent="0.2">
      <c r="A5" s="64" t="s">
        <v>32</v>
      </c>
      <c r="B5" s="62" t="s">
        <v>33</v>
      </c>
      <c r="F5" s="124">
        <f ca="1">MATCH($F$6,OFFSET($E$12,0,0,1,$F$4),0)</f>
        <v>1</v>
      </c>
      <c r="G5" s="124" t="str">
        <f ca="1">$G$4&amp;ROW($E$13) &amp; ":" &amp; $G$4 &amp; (ROW($E$13)+OFFSET($D$11,0,$F$5)-1)</f>
        <v>E13:E15</v>
      </c>
    </row>
    <row r="6" spans="1:8" x14ac:dyDescent="0.2">
      <c r="A6" s="64" t="s">
        <v>31</v>
      </c>
      <c r="B6" s="62" t="s">
        <v>86</v>
      </c>
      <c r="C6" s="184" t="s">
        <v>412</v>
      </c>
      <c r="E6" s="136" t="s">
        <v>425</v>
      </c>
      <c r="F6" s="137" t="s">
        <v>422</v>
      </c>
    </row>
    <row r="7" spans="1:8" x14ac:dyDescent="0.2">
      <c r="A7" s="64" t="s">
        <v>87</v>
      </c>
      <c r="B7" s="62" t="s">
        <v>88</v>
      </c>
      <c r="E7" s="96" t="s">
        <v>426</v>
      </c>
      <c r="F7" s="572" t="s">
        <v>566</v>
      </c>
      <c r="G7" s="572"/>
    </row>
    <row r="8" spans="1:8" x14ac:dyDescent="0.2">
      <c r="A8" s="64" t="s">
        <v>372</v>
      </c>
      <c r="B8" s="62" t="s">
        <v>373</v>
      </c>
      <c r="C8" s="185" t="s">
        <v>751</v>
      </c>
    </row>
    <row r="9" spans="1:8" x14ac:dyDescent="0.2">
      <c r="A9" s="64"/>
    </row>
    <row r="10" spans="1:8" ht="15.75" x14ac:dyDescent="0.2">
      <c r="A10" s="71" t="s">
        <v>36</v>
      </c>
    </row>
    <row r="11" spans="1:8" s="73" customFormat="1" x14ac:dyDescent="0.2">
      <c r="E11" s="124">
        <f>ROWS(E$13:E$2001)-COUNTBLANK(E$13:E$2001)</f>
        <v>3</v>
      </c>
      <c r="F11" s="124">
        <f>ROWS(F$13:F$2001)-COUNTBLANK(F$13:F$2001)</f>
        <v>3</v>
      </c>
      <c r="G11" s="124">
        <f>ROWS(G$13:G$2001)-COUNTBLANK(G$13:G$2001)</f>
        <v>4</v>
      </c>
      <c r="H11" s="124">
        <f>ROWS(H$13:H$2001)-COUNTBLANK(H$13:H$2001)</f>
        <v>3</v>
      </c>
    </row>
    <row r="12" spans="1:8" s="97" customFormat="1" x14ac:dyDescent="0.2">
      <c r="B12" s="97" t="s">
        <v>34</v>
      </c>
      <c r="C12" s="97" t="s">
        <v>35</v>
      </c>
      <c r="D12" s="135" t="s">
        <v>94</v>
      </c>
      <c r="E12" s="97" t="s">
        <v>422</v>
      </c>
      <c r="F12" s="97" t="s">
        <v>429</v>
      </c>
      <c r="G12" s="97" t="s">
        <v>433</v>
      </c>
      <c r="H12" s="97" t="s">
        <v>638</v>
      </c>
    </row>
    <row r="13" spans="1:8" x14ac:dyDescent="0.2">
      <c r="B13" s="62" t="b">
        <v>1</v>
      </c>
      <c r="C13" s="62" t="s">
        <v>2</v>
      </c>
      <c r="D13" s="65" t="s">
        <v>95</v>
      </c>
      <c r="E13" s="62" t="s">
        <v>566</v>
      </c>
      <c r="F13" s="62" t="s">
        <v>567</v>
      </c>
      <c r="G13" s="62" t="s">
        <v>568</v>
      </c>
      <c r="H13" s="62" t="s">
        <v>637</v>
      </c>
    </row>
    <row r="14" spans="1:8" x14ac:dyDescent="0.2">
      <c r="B14" s="62" t="b">
        <v>0</v>
      </c>
      <c r="C14" s="62" t="s">
        <v>26</v>
      </c>
      <c r="D14" s="65" t="s">
        <v>96</v>
      </c>
      <c r="E14" s="62" t="s">
        <v>423</v>
      </c>
      <c r="F14" s="62" t="s">
        <v>427</v>
      </c>
      <c r="G14" s="62" t="s">
        <v>430</v>
      </c>
      <c r="H14" s="62" t="s">
        <v>370</v>
      </c>
    </row>
    <row r="15" spans="1:8" x14ac:dyDescent="0.2">
      <c r="D15" s="65" t="s">
        <v>97</v>
      </c>
      <c r="E15" s="62" t="s">
        <v>424</v>
      </c>
      <c r="F15" s="62" t="s">
        <v>428</v>
      </c>
      <c r="G15" s="62" t="s">
        <v>431</v>
      </c>
      <c r="H15" s="62" t="s">
        <v>9</v>
      </c>
    </row>
    <row r="16" spans="1:8" x14ac:dyDescent="0.2">
      <c r="D16" s="65" t="s">
        <v>98</v>
      </c>
      <c r="G16" s="62" t="s">
        <v>432</v>
      </c>
    </row>
    <row r="17" spans="4:4" x14ac:dyDescent="0.2">
      <c r="D17" s="65" t="s">
        <v>99</v>
      </c>
    </row>
    <row r="18" spans="4:4" x14ac:dyDescent="0.2">
      <c r="D18" s="65" t="s">
        <v>1</v>
      </c>
    </row>
    <row r="19" spans="4:4" x14ac:dyDescent="0.2">
      <c r="D19" s="65" t="s">
        <v>100</v>
      </c>
    </row>
    <row r="20" spans="4:4" x14ac:dyDescent="0.2">
      <c r="D20" s="65" t="s">
        <v>101</v>
      </c>
    </row>
    <row r="21" spans="4:4" x14ac:dyDescent="0.2">
      <c r="D21" s="65" t="s">
        <v>102</v>
      </c>
    </row>
    <row r="22" spans="4:4" x14ac:dyDescent="0.2">
      <c r="D22" s="65" t="s">
        <v>61</v>
      </c>
    </row>
    <row r="23" spans="4:4" x14ac:dyDescent="0.2">
      <c r="D23" s="65" t="s">
        <v>103</v>
      </c>
    </row>
    <row r="24" spans="4:4" x14ac:dyDescent="0.2">
      <c r="D24" s="65" t="s">
        <v>104</v>
      </c>
    </row>
    <row r="25" spans="4:4" x14ac:dyDescent="0.2">
      <c r="D25" s="65" t="s">
        <v>105</v>
      </c>
    </row>
    <row r="26" spans="4:4" x14ac:dyDescent="0.2">
      <c r="D26" s="65" t="s">
        <v>106</v>
      </c>
    </row>
    <row r="27" spans="4:4" x14ac:dyDescent="0.2">
      <c r="D27" s="65" t="s">
        <v>107</v>
      </c>
    </row>
    <row r="28" spans="4:4" x14ac:dyDescent="0.2">
      <c r="D28" s="65" t="s">
        <v>108</v>
      </c>
    </row>
    <row r="29" spans="4:4" x14ac:dyDescent="0.2">
      <c r="D29" s="65" t="s">
        <v>109</v>
      </c>
    </row>
    <row r="30" spans="4:4" x14ac:dyDescent="0.2">
      <c r="D30" s="65" t="s">
        <v>110</v>
      </c>
    </row>
    <row r="31" spans="4:4" x14ac:dyDescent="0.2">
      <c r="D31" s="65" t="s">
        <v>111</v>
      </c>
    </row>
    <row r="32" spans="4:4" x14ac:dyDescent="0.2">
      <c r="D32" s="65" t="s">
        <v>112</v>
      </c>
    </row>
    <row r="33" spans="4:4" x14ac:dyDescent="0.2">
      <c r="D33" s="65" t="s">
        <v>113</v>
      </c>
    </row>
    <row r="34" spans="4:4" x14ac:dyDescent="0.2">
      <c r="D34" s="65" t="s">
        <v>114</v>
      </c>
    </row>
    <row r="35" spans="4:4" x14ac:dyDescent="0.2">
      <c r="D35" s="65" t="s">
        <v>115</v>
      </c>
    </row>
    <row r="36" spans="4:4" x14ac:dyDescent="0.2">
      <c r="D36" s="65" t="s">
        <v>116</v>
      </c>
    </row>
    <row r="37" spans="4:4" x14ac:dyDescent="0.2">
      <c r="D37" s="65" t="s">
        <v>117</v>
      </c>
    </row>
    <row r="38" spans="4:4" x14ac:dyDescent="0.2">
      <c r="D38" s="65" t="s">
        <v>118</v>
      </c>
    </row>
    <row r="39" spans="4:4" x14ac:dyDescent="0.2">
      <c r="D39" s="65" t="s">
        <v>119</v>
      </c>
    </row>
    <row r="40" spans="4:4" x14ac:dyDescent="0.2">
      <c r="D40" s="65" t="s">
        <v>120</v>
      </c>
    </row>
    <row r="41" spans="4:4" x14ac:dyDescent="0.2">
      <c r="D41" s="65" t="s">
        <v>121</v>
      </c>
    </row>
    <row r="42" spans="4:4" x14ac:dyDescent="0.2">
      <c r="D42" s="65" t="s">
        <v>122</v>
      </c>
    </row>
    <row r="43" spans="4:4" x14ac:dyDescent="0.2">
      <c r="D43" s="65" t="s">
        <v>123</v>
      </c>
    </row>
    <row r="44" spans="4:4" x14ac:dyDescent="0.2">
      <c r="D44" s="65" t="s">
        <v>89</v>
      </c>
    </row>
    <row r="45" spans="4:4" x14ac:dyDescent="0.2">
      <c r="D45" s="65" t="s">
        <v>124</v>
      </c>
    </row>
    <row r="46" spans="4:4" x14ac:dyDescent="0.2">
      <c r="D46" s="65" t="s">
        <v>125</v>
      </c>
    </row>
    <row r="47" spans="4:4" x14ac:dyDescent="0.2">
      <c r="D47" s="65" t="s">
        <v>126</v>
      </c>
    </row>
    <row r="48" spans="4:4" x14ac:dyDescent="0.2">
      <c r="D48" s="65" t="s">
        <v>127</v>
      </c>
    </row>
    <row r="49" spans="4:4" x14ac:dyDescent="0.2">
      <c r="D49" s="65" t="s">
        <v>128</v>
      </c>
    </row>
    <row r="50" spans="4:4" x14ac:dyDescent="0.2">
      <c r="D50" s="65" t="s">
        <v>129</v>
      </c>
    </row>
    <row r="51" spans="4:4" x14ac:dyDescent="0.2">
      <c r="D51" s="65" t="s">
        <v>130</v>
      </c>
    </row>
    <row r="52" spans="4:4" x14ac:dyDescent="0.2">
      <c r="D52" s="65" t="s">
        <v>131</v>
      </c>
    </row>
    <row r="53" spans="4:4" x14ac:dyDescent="0.2">
      <c r="D53" s="65" t="s">
        <v>132</v>
      </c>
    </row>
    <row r="54" spans="4:4" x14ac:dyDescent="0.2">
      <c r="D54" s="65" t="s">
        <v>133</v>
      </c>
    </row>
    <row r="55" spans="4:4" x14ac:dyDescent="0.2">
      <c r="D55" s="65" t="s">
        <v>134</v>
      </c>
    </row>
    <row r="56" spans="4:4" x14ac:dyDescent="0.2">
      <c r="D56" s="65" t="s">
        <v>135</v>
      </c>
    </row>
    <row r="57" spans="4:4" x14ac:dyDescent="0.2">
      <c r="D57" s="65" t="s">
        <v>136</v>
      </c>
    </row>
    <row r="58" spans="4:4" x14ac:dyDescent="0.2">
      <c r="D58" s="65" t="s">
        <v>137</v>
      </c>
    </row>
    <row r="59" spans="4:4" x14ac:dyDescent="0.2">
      <c r="D59" s="65" t="s">
        <v>138</v>
      </c>
    </row>
    <row r="60" spans="4:4" x14ac:dyDescent="0.2">
      <c r="D60" s="65" t="s">
        <v>139</v>
      </c>
    </row>
    <row r="61" spans="4:4" x14ac:dyDescent="0.2">
      <c r="D61" s="65" t="s">
        <v>140</v>
      </c>
    </row>
    <row r="62" spans="4:4" x14ac:dyDescent="0.2">
      <c r="D62" s="65" t="s">
        <v>141</v>
      </c>
    </row>
    <row r="63" spans="4:4" x14ac:dyDescent="0.2">
      <c r="D63" s="65" t="s">
        <v>142</v>
      </c>
    </row>
    <row r="64" spans="4:4" x14ac:dyDescent="0.2">
      <c r="D64" s="65" t="s">
        <v>143</v>
      </c>
    </row>
    <row r="65" spans="4:4" x14ac:dyDescent="0.2">
      <c r="D65" s="65" t="s">
        <v>144</v>
      </c>
    </row>
    <row r="66" spans="4:4" x14ac:dyDescent="0.2">
      <c r="D66" s="65" t="s">
        <v>145</v>
      </c>
    </row>
    <row r="67" spans="4:4" x14ac:dyDescent="0.2">
      <c r="D67" s="65" t="s">
        <v>146</v>
      </c>
    </row>
    <row r="68" spans="4:4" x14ac:dyDescent="0.2">
      <c r="D68" s="65" t="s">
        <v>147</v>
      </c>
    </row>
    <row r="69" spans="4:4" x14ac:dyDescent="0.2">
      <c r="D69" s="65" t="s">
        <v>148</v>
      </c>
    </row>
    <row r="70" spans="4:4" x14ac:dyDescent="0.2">
      <c r="D70" s="65" t="s">
        <v>149</v>
      </c>
    </row>
    <row r="71" spans="4:4" x14ac:dyDescent="0.2">
      <c r="D71" s="65" t="s">
        <v>150</v>
      </c>
    </row>
    <row r="72" spans="4:4" x14ac:dyDescent="0.2">
      <c r="D72" s="65" t="s">
        <v>151</v>
      </c>
    </row>
    <row r="73" spans="4:4" x14ac:dyDescent="0.2">
      <c r="D73" s="65" t="s">
        <v>152</v>
      </c>
    </row>
    <row r="74" spans="4:4" x14ac:dyDescent="0.2">
      <c r="D74" s="65" t="s">
        <v>153</v>
      </c>
    </row>
    <row r="75" spans="4:4" x14ac:dyDescent="0.2">
      <c r="D75" s="65" t="s">
        <v>154</v>
      </c>
    </row>
    <row r="76" spans="4:4" x14ac:dyDescent="0.2">
      <c r="D76" s="65" t="s">
        <v>155</v>
      </c>
    </row>
    <row r="77" spans="4:4" x14ac:dyDescent="0.2">
      <c r="D77" s="65" t="s">
        <v>156</v>
      </c>
    </row>
    <row r="78" spans="4:4" x14ac:dyDescent="0.2">
      <c r="D78" s="65" t="s">
        <v>157</v>
      </c>
    </row>
    <row r="79" spans="4:4" x14ac:dyDescent="0.2">
      <c r="D79" s="65" t="s">
        <v>158</v>
      </c>
    </row>
    <row r="80" spans="4:4" x14ac:dyDescent="0.2">
      <c r="D80" s="65" t="s">
        <v>159</v>
      </c>
    </row>
    <row r="81" spans="4:4" x14ac:dyDescent="0.2">
      <c r="D81" s="65" t="s">
        <v>160</v>
      </c>
    </row>
    <row r="82" spans="4:4" x14ac:dyDescent="0.2">
      <c r="D82" s="65" t="s">
        <v>161</v>
      </c>
    </row>
    <row r="83" spans="4:4" x14ac:dyDescent="0.2">
      <c r="D83" s="65" t="s">
        <v>162</v>
      </c>
    </row>
    <row r="84" spans="4:4" x14ac:dyDescent="0.2">
      <c r="D84" s="65" t="s">
        <v>163</v>
      </c>
    </row>
    <row r="85" spans="4:4" x14ac:dyDescent="0.2">
      <c r="D85" s="65" t="s">
        <v>164</v>
      </c>
    </row>
    <row r="86" spans="4:4" x14ac:dyDescent="0.2">
      <c r="D86" s="65" t="s">
        <v>165</v>
      </c>
    </row>
    <row r="87" spans="4:4" x14ac:dyDescent="0.2">
      <c r="D87" s="65" t="s">
        <v>166</v>
      </c>
    </row>
    <row r="88" spans="4:4" x14ac:dyDescent="0.2">
      <c r="D88" s="65" t="s">
        <v>167</v>
      </c>
    </row>
    <row r="89" spans="4:4" x14ac:dyDescent="0.2">
      <c r="D89" s="65" t="s">
        <v>168</v>
      </c>
    </row>
    <row r="90" spans="4:4" x14ac:dyDescent="0.2">
      <c r="D90" s="65" t="s">
        <v>169</v>
      </c>
    </row>
    <row r="91" spans="4:4" x14ac:dyDescent="0.2">
      <c r="D91" s="65" t="s">
        <v>170</v>
      </c>
    </row>
    <row r="92" spans="4:4" x14ac:dyDescent="0.2">
      <c r="D92" s="65" t="s">
        <v>171</v>
      </c>
    </row>
    <row r="93" spans="4:4" x14ac:dyDescent="0.2">
      <c r="D93" s="65" t="s">
        <v>172</v>
      </c>
    </row>
    <row r="94" spans="4:4" x14ac:dyDescent="0.2">
      <c r="D94" s="65" t="s">
        <v>173</v>
      </c>
    </row>
    <row r="95" spans="4:4" x14ac:dyDescent="0.2">
      <c r="D95" s="65" t="s">
        <v>174</v>
      </c>
    </row>
    <row r="96" spans="4:4" x14ac:dyDescent="0.2">
      <c r="D96" s="65" t="s">
        <v>175</v>
      </c>
    </row>
    <row r="97" spans="4:4" x14ac:dyDescent="0.2">
      <c r="D97" s="65" t="s">
        <v>176</v>
      </c>
    </row>
    <row r="98" spans="4:4" x14ac:dyDescent="0.2">
      <c r="D98" s="65" t="s">
        <v>177</v>
      </c>
    </row>
    <row r="99" spans="4:4" x14ac:dyDescent="0.2">
      <c r="D99" s="65" t="s">
        <v>178</v>
      </c>
    </row>
    <row r="100" spans="4:4" x14ac:dyDescent="0.2">
      <c r="D100" s="65" t="s">
        <v>179</v>
      </c>
    </row>
    <row r="101" spans="4:4" x14ac:dyDescent="0.2">
      <c r="D101" s="65" t="s">
        <v>180</v>
      </c>
    </row>
    <row r="102" spans="4:4" x14ac:dyDescent="0.2">
      <c r="D102" s="65" t="s">
        <v>181</v>
      </c>
    </row>
    <row r="103" spans="4:4" x14ac:dyDescent="0.2">
      <c r="D103" s="65" t="s">
        <v>182</v>
      </c>
    </row>
    <row r="104" spans="4:4" x14ac:dyDescent="0.2">
      <c r="D104" s="65" t="s">
        <v>183</v>
      </c>
    </row>
    <row r="105" spans="4:4" x14ac:dyDescent="0.2">
      <c r="D105" s="65" t="s">
        <v>184</v>
      </c>
    </row>
    <row r="106" spans="4:4" x14ac:dyDescent="0.2">
      <c r="D106" s="65" t="s">
        <v>185</v>
      </c>
    </row>
    <row r="107" spans="4:4" x14ac:dyDescent="0.2">
      <c r="D107" s="65" t="s">
        <v>186</v>
      </c>
    </row>
    <row r="108" spans="4:4" x14ac:dyDescent="0.2">
      <c r="D108" s="65" t="s">
        <v>187</v>
      </c>
    </row>
    <row r="109" spans="4:4" x14ac:dyDescent="0.2">
      <c r="D109" s="65" t="s">
        <v>188</v>
      </c>
    </row>
    <row r="110" spans="4:4" x14ac:dyDescent="0.2">
      <c r="D110" s="65" t="s">
        <v>189</v>
      </c>
    </row>
    <row r="111" spans="4:4" x14ac:dyDescent="0.2">
      <c r="D111" s="65" t="s">
        <v>190</v>
      </c>
    </row>
    <row r="112" spans="4:4" x14ac:dyDescent="0.2">
      <c r="D112" s="65" t="s">
        <v>191</v>
      </c>
    </row>
    <row r="113" spans="4:4" x14ac:dyDescent="0.2">
      <c r="D113" s="65" t="s">
        <v>192</v>
      </c>
    </row>
    <row r="114" spans="4:4" x14ac:dyDescent="0.2">
      <c r="D114" s="65" t="s">
        <v>193</v>
      </c>
    </row>
    <row r="115" spans="4:4" x14ac:dyDescent="0.2">
      <c r="D115" s="65" t="s">
        <v>194</v>
      </c>
    </row>
    <row r="116" spans="4:4" x14ac:dyDescent="0.2">
      <c r="D116" s="65" t="s">
        <v>195</v>
      </c>
    </row>
    <row r="117" spans="4:4" x14ac:dyDescent="0.2">
      <c r="D117" s="65" t="s">
        <v>196</v>
      </c>
    </row>
    <row r="118" spans="4:4" x14ac:dyDescent="0.2">
      <c r="D118" s="65" t="s">
        <v>197</v>
      </c>
    </row>
    <row r="119" spans="4:4" x14ac:dyDescent="0.2">
      <c r="D119" s="65" t="s">
        <v>198</v>
      </c>
    </row>
    <row r="120" spans="4:4" x14ac:dyDescent="0.2">
      <c r="D120" s="65" t="s">
        <v>199</v>
      </c>
    </row>
    <row r="121" spans="4:4" x14ac:dyDescent="0.2">
      <c r="D121" s="65" t="s">
        <v>200</v>
      </c>
    </row>
    <row r="122" spans="4:4" x14ac:dyDescent="0.2">
      <c r="D122" s="65" t="s">
        <v>201</v>
      </c>
    </row>
    <row r="123" spans="4:4" x14ac:dyDescent="0.2">
      <c r="D123" s="65" t="s">
        <v>202</v>
      </c>
    </row>
    <row r="124" spans="4:4" x14ac:dyDescent="0.2">
      <c r="D124" s="65" t="s">
        <v>203</v>
      </c>
    </row>
    <row r="125" spans="4:4" x14ac:dyDescent="0.2">
      <c r="D125" s="65" t="s">
        <v>204</v>
      </c>
    </row>
    <row r="126" spans="4:4" x14ac:dyDescent="0.2">
      <c r="D126" s="65" t="s">
        <v>205</v>
      </c>
    </row>
    <row r="127" spans="4:4" x14ac:dyDescent="0.2">
      <c r="D127" s="65" t="s">
        <v>206</v>
      </c>
    </row>
    <row r="128" spans="4:4" x14ac:dyDescent="0.2">
      <c r="D128" s="65" t="s">
        <v>207</v>
      </c>
    </row>
    <row r="129" spans="4:4" x14ac:dyDescent="0.2">
      <c r="D129" s="65" t="s">
        <v>208</v>
      </c>
    </row>
    <row r="130" spans="4:4" x14ac:dyDescent="0.2">
      <c r="D130" s="65" t="s">
        <v>209</v>
      </c>
    </row>
    <row r="131" spans="4:4" x14ac:dyDescent="0.2">
      <c r="D131" s="65" t="s">
        <v>210</v>
      </c>
    </row>
    <row r="132" spans="4:4" x14ac:dyDescent="0.2">
      <c r="D132" s="65" t="s">
        <v>211</v>
      </c>
    </row>
    <row r="133" spans="4:4" x14ac:dyDescent="0.2">
      <c r="D133" s="65" t="s">
        <v>212</v>
      </c>
    </row>
    <row r="134" spans="4:4" x14ac:dyDescent="0.2">
      <c r="D134" s="65" t="s">
        <v>213</v>
      </c>
    </row>
    <row r="135" spans="4:4" x14ac:dyDescent="0.2">
      <c r="D135" s="65" t="s">
        <v>214</v>
      </c>
    </row>
    <row r="136" spans="4:4" x14ac:dyDescent="0.2">
      <c r="D136" s="65" t="s">
        <v>215</v>
      </c>
    </row>
    <row r="137" spans="4:4" x14ac:dyDescent="0.2">
      <c r="D137" s="65" t="s">
        <v>216</v>
      </c>
    </row>
    <row r="138" spans="4:4" x14ac:dyDescent="0.2">
      <c r="D138" s="65" t="s">
        <v>217</v>
      </c>
    </row>
    <row r="139" spans="4:4" x14ac:dyDescent="0.2">
      <c r="D139" s="65" t="s">
        <v>218</v>
      </c>
    </row>
    <row r="140" spans="4:4" x14ac:dyDescent="0.2">
      <c r="D140" s="65" t="s">
        <v>219</v>
      </c>
    </row>
    <row r="141" spans="4:4" x14ac:dyDescent="0.2">
      <c r="D141" s="65" t="s">
        <v>220</v>
      </c>
    </row>
    <row r="142" spans="4:4" x14ac:dyDescent="0.2">
      <c r="D142" s="65" t="s">
        <v>221</v>
      </c>
    </row>
    <row r="143" spans="4:4" x14ac:dyDescent="0.2">
      <c r="D143" s="65" t="s">
        <v>222</v>
      </c>
    </row>
    <row r="144" spans="4:4" x14ac:dyDescent="0.2">
      <c r="D144" s="65" t="s">
        <v>223</v>
      </c>
    </row>
    <row r="145" spans="4:4" x14ac:dyDescent="0.2">
      <c r="D145" s="65" t="s">
        <v>224</v>
      </c>
    </row>
    <row r="146" spans="4:4" x14ac:dyDescent="0.2">
      <c r="D146" s="65" t="s">
        <v>225</v>
      </c>
    </row>
    <row r="147" spans="4:4" x14ac:dyDescent="0.2">
      <c r="D147" s="65" t="s">
        <v>226</v>
      </c>
    </row>
    <row r="148" spans="4:4" x14ac:dyDescent="0.2">
      <c r="D148" s="65" t="s">
        <v>227</v>
      </c>
    </row>
    <row r="149" spans="4:4" x14ac:dyDescent="0.2">
      <c r="D149" s="65" t="s">
        <v>228</v>
      </c>
    </row>
    <row r="150" spans="4:4" x14ac:dyDescent="0.2">
      <c r="D150" s="65" t="s">
        <v>229</v>
      </c>
    </row>
    <row r="151" spans="4:4" x14ac:dyDescent="0.2">
      <c r="D151" s="65" t="s">
        <v>230</v>
      </c>
    </row>
    <row r="152" spans="4:4" x14ac:dyDescent="0.2">
      <c r="D152" s="65" t="s">
        <v>231</v>
      </c>
    </row>
    <row r="153" spans="4:4" x14ac:dyDescent="0.2">
      <c r="D153" s="65" t="s">
        <v>232</v>
      </c>
    </row>
    <row r="154" spans="4:4" x14ac:dyDescent="0.2">
      <c r="D154" s="65" t="s">
        <v>233</v>
      </c>
    </row>
    <row r="155" spans="4:4" x14ac:dyDescent="0.2">
      <c r="D155" s="65" t="s">
        <v>234</v>
      </c>
    </row>
    <row r="156" spans="4:4" x14ac:dyDescent="0.2">
      <c r="D156" s="65" t="s">
        <v>235</v>
      </c>
    </row>
    <row r="157" spans="4:4" x14ac:dyDescent="0.2">
      <c r="D157" s="65" t="s">
        <v>236</v>
      </c>
    </row>
    <row r="158" spans="4:4" x14ac:dyDescent="0.2">
      <c r="D158" s="65" t="s">
        <v>237</v>
      </c>
    </row>
    <row r="159" spans="4:4" x14ac:dyDescent="0.2">
      <c r="D159" s="65" t="s">
        <v>238</v>
      </c>
    </row>
    <row r="160" spans="4:4" x14ac:dyDescent="0.2">
      <c r="D160" s="65" t="s">
        <v>239</v>
      </c>
    </row>
    <row r="161" spans="4:4" x14ac:dyDescent="0.2">
      <c r="D161" s="65" t="s">
        <v>240</v>
      </c>
    </row>
    <row r="162" spans="4:4" x14ac:dyDescent="0.2">
      <c r="D162" s="65" t="s">
        <v>241</v>
      </c>
    </row>
    <row r="163" spans="4:4" x14ac:dyDescent="0.2">
      <c r="D163" s="65" t="s">
        <v>242</v>
      </c>
    </row>
    <row r="164" spans="4:4" x14ac:dyDescent="0.2">
      <c r="D164" s="65" t="s">
        <v>243</v>
      </c>
    </row>
    <row r="165" spans="4:4" x14ac:dyDescent="0.2">
      <c r="D165" s="65" t="s">
        <v>244</v>
      </c>
    </row>
    <row r="166" spans="4:4" x14ac:dyDescent="0.2">
      <c r="D166" s="65" t="s">
        <v>245</v>
      </c>
    </row>
    <row r="167" spans="4:4" x14ac:dyDescent="0.2">
      <c r="D167" s="65" t="s">
        <v>246</v>
      </c>
    </row>
    <row r="168" spans="4:4" x14ac:dyDescent="0.2">
      <c r="D168" s="65" t="s">
        <v>247</v>
      </c>
    </row>
    <row r="169" spans="4:4" x14ac:dyDescent="0.2">
      <c r="D169" s="65" t="s">
        <v>248</v>
      </c>
    </row>
    <row r="170" spans="4:4" x14ac:dyDescent="0.2">
      <c r="D170" s="65" t="s">
        <v>249</v>
      </c>
    </row>
    <row r="171" spans="4:4" x14ac:dyDescent="0.2">
      <c r="D171" s="65" t="s">
        <v>250</v>
      </c>
    </row>
    <row r="172" spans="4:4" x14ac:dyDescent="0.2">
      <c r="D172" s="65" t="s">
        <v>251</v>
      </c>
    </row>
    <row r="173" spans="4:4" x14ac:dyDescent="0.2">
      <c r="D173" s="65" t="s">
        <v>252</v>
      </c>
    </row>
    <row r="174" spans="4:4" x14ac:dyDescent="0.2">
      <c r="D174" s="65" t="s">
        <v>253</v>
      </c>
    </row>
    <row r="175" spans="4:4" x14ac:dyDescent="0.2">
      <c r="D175" s="65" t="s">
        <v>254</v>
      </c>
    </row>
    <row r="176" spans="4:4" x14ac:dyDescent="0.2">
      <c r="D176" s="65" t="s">
        <v>255</v>
      </c>
    </row>
    <row r="177" spans="4:4" x14ac:dyDescent="0.2">
      <c r="D177" s="65" t="s">
        <v>256</v>
      </c>
    </row>
    <row r="178" spans="4:4" x14ac:dyDescent="0.2">
      <c r="D178" s="65" t="s">
        <v>257</v>
      </c>
    </row>
    <row r="179" spans="4:4" x14ac:dyDescent="0.2">
      <c r="D179" s="65" t="s">
        <v>258</v>
      </c>
    </row>
    <row r="180" spans="4:4" x14ac:dyDescent="0.2">
      <c r="D180" s="65" t="s">
        <v>259</v>
      </c>
    </row>
    <row r="181" spans="4:4" x14ac:dyDescent="0.2">
      <c r="D181" s="65" t="s">
        <v>260</v>
      </c>
    </row>
    <row r="182" spans="4:4" x14ac:dyDescent="0.2">
      <c r="D182" s="65" t="s">
        <v>261</v>
      </c>
    </row>
    <row r="183" spans="4:4" x14ac:dyDescent="0.2">
      <c r="D183" s="65" t="s">
        <v>262</v>
      </c>
    </row>
    <row r="184" spans="4:4" x14ac:dyDescent="0.2">
      <c r="D184" s="65" t="s">
        <v>263</v>
      </c>
    </row>
    <row r="185" spans="4:4" x14ac:dyDescent="0.2">
      <c r="D185" s="65" t="s">
        <v>264</v>
      </c>
    </row>
    <row r="186" spans="4:4" x14ac:dyDescent="0.2">
      <c r="D186" s="65" t="s">
        <v>265</v>
      </c>
    </row>
    <row r="187" spans="4:4" x14ac:dyDescent="0.2">
      <c r="D187" s="65" t="s">
        <v>266</v>
      </c>
    </row>
    <row r="188" spans="4:4" x14ac:dyDescent="0.2">
      <c r="D188" s="65" t="s">
        <v>267</v>
      </c>
    </row>
    <row r="189" spans="4:4" x14ac:dyDescent="0.2">
      <c r="D189" s="65" t="s">
        <v>268</v>
      </c>
    </row>
    <row r="190" spans="4:4" x14ac:dyDescent="0.2">
      <c r="D190" s="65" t="s">
        <v>269</v>
      </c>
    </row>
    <row r="191" spans="4:4" x14ac:dyDescent="0.2">
      <c r="D191" s="65" t="s">
        <v>270</v>
      </c>
    </row>
    <row r="192" spans="4:4" x14ac:dyDescent="0.2">
      <c r="D192" s="65" t="s">
        <v>271</v>
      </c>
    </row>
    <row r="193" spans="4:4" x14ac:dyDescent="0.2">
      <c r="D193" s="65" t="s">
        <v>272</v>
      </c>
    </row>
    <row r="194" spans="4:4" x14ac:dyDescent="0.2">
      <c r="D194" s="65" t="s">
        <v>273</v>
      </c>
    </row>
    <row r="195" spans="4:4" x14ac:dyDescent="0.2">
      <c r="D195" s="65" t="s">
        <v>274</v>
      </c>
    </row>
    <row r="196" spans="4:4" x14ac:dyDescent="0.2">
      <c r="D196" s="65" t="s">
        <v>275</v>
      </c>
    </row>
    <row r="197" spans="4:4" x14ac:dyDescent="0.2">
      <c r="D197" s="65" t="s">
        <v>276</v>
      </c>
    </row>
    <row r="198" spans="4:4" x14ac:dyDescent="0.2">
      <c r="D198" s="65" t="s">
        <v>277</v>
      </c>
    </row>
    <row r="199" spans="4:4" x14ac:dyDescent="0.2">
      <c r="D199" s="65" t="s">
        <v>278</v>
      </c>
    </row>
    <row r="200" spans="4:4" x14ac:dyDescent="0.2">
      <c r="D200" s="65" t="s">
        <v>279</v>
      </c>
    </row>
    <row r="201" spans="4:4" x14ac:dyDescent="0.2">
      <c r="D201" s="65" t="s">
        <v>280</v>
      </c>
    </row>
    <row r="202" spans="4:4" x14ac:dyDescent="0.2">
      <c r="D202" s="65" t="s">
        <v>281</v>
      </c>
    </row>
    <row r="203" spans="4:4" x14ac:dyDescent="0.2">
      <c r="D203" s="65" t="s">
        <v>282</v>
      </c>
    </row>
    <row r="204" spans="4:4" x14ac:dyDescent="0.2">
      <c r="D204" s="65" t="s">
        <v>67</v>
      </c>
    </row>
    <row r="205" spans="4:4" x14ac:dyDescent="0.2">
      <c r="D205" s="65" t="s">
        <v>283</v>
      </c>
    </row>
    <row r="206" spans="4:4" x14ac:dyDescent="0.2">
      <c r="D206" s="65" t="s">
        <v>284</v>
      </c>
    </row>
    <row r="207" spans="4:4" x14ac:dyDescent="0.2">
      <c r="D207" s="65" t="s">
        <v>285</v>
      </c>
    </row>
    <row r="208" spans="4:4" x14ac:dyDescent="0.2">
      <c r="D208" s="65" t="s">
        <v>286</v>
      </c>
    </row>
    <row r="209" spans="4:4" x14ac:dyDescent="0.2">
      <c r="D209" s="65" t="s">
        <v>287</v>
      </c>
    </row>
    <row r="210" spans="4:4" x14ac:dyDescent="0.2">
      <c r="D210" s="65" t="s">
        <v>288</v>
      </c>
    </row>
    <row r="211" spans="4:4" x14ac:dyDescent="0.2">
      <c r="D211" s="65" t="s">
        <v>289</v>
      </c>
    </row>
    <row r="212" spans="4:4" x14ac:dyDescent="0.2">
      <c r="D212" s="65" t="s">
        <v>290</v>
      </c>
    </row>
    <row r="213" spans="4:4" x14ac:dyDescent="0.2">
      <c r="D213" s="65" t="s">
        <v>291</v>
      </c>
    </row>
    <row r="214" spans="4:4" x14ac:dyDescent="0.2">
      <c r="D214" s="65" t="s">
        <v>292</v>
      </c>
    </row>
    <row r="215" spans="4:4" x14ac:dyDescent="0.2">
      <c r="D215" s="65" t="s">
        <v>293</v>
      </c>
    </row>
    <row r="216" spans="4:4" x14ac:dyDescent="0.2">
      <c r="D216" s="65" t="s">
        <v>294</v>
      </c>
    </row>
    <row r="217" spans="4:4" x14ac:dyDescent="0.2">
      <c r="D217" s="65" t="s">
        <v>295</v>
      </c>
    </row>
    <row r="218" spans="4:4" x14ac:dyDescent="0.2">
      <c r="D218" s="65" t="s">
        <v>296</v>
      </c>
    </row>
    <row r="219" spans="4:4" x14ac:dyDescent="0.2">
      <c r="D219" s="65" t="s">
        <v>297</v>
      </c>
    </row>
    <row r="220" spans="4:4" x14ac:dyDescent="0.2">
      <c r="D220" s="65" t="s">
        <v>298</v>
      </c>
    </row>
    <row r="221" spans="4:4" x14ac:dyDescent="0.2">
      <c r="D221" s="65" t="s">
        <v>299</v>
      </c>
    </row>
    <row r="222" spans="4:4" x14ac:dyDescent="0.2">
      <c r="D222" s="65" t="s">
        <v>300</v>
      </c>
    </row>
    <row r="223" spans="4:4" x14ac:dyDescent="0.2">
      <c r="D223" s="65" t="s">
        <v>301</v>
      </c>
    </row>
    <row r="224" spans="4:4" x14ac:dyDescent="0.2">
      <c r="D224" s="65" t="s">
        <v>302</v>
      </c>
    </row>
    <row r="225" spans="4:4" x14ac:dyDescent="0.2">
      <c r="D225" s="65" t="s">
        <v>303</v>
      </c>
    </row>
    <row r="226" spans="4:4" x14ac:dyDescent="0.2">
      <c r="D226" s="65" t="s">
        <v>304</v>
      </c>
    </row>
    <row r="227" spans="4:4" x14ac:dyDescent="0.2">
      <c r="D227" s="65" t="s">
        <v>305</v>
      </c>
    </row>
    <row r="228" spans="4:4" x14ac:dyDescent="0.2">
      <c r="D228" s="65" t="s">
        <v>306</v>
      </c>
    </row>
    <row r="229" spans="4:4" x14ac:dyDescent="0.2">
      <c r="D229" s="65" t="s">
        <v>307</v>
      </c>
    </row>
    <row r="230" spans="4:4" x14ac:dyDescent="0.2">
      <c r="D230" s="65" t="s">
        <v>308</v>
      </c>
    </row>
    <row r="231" spans="4:4" x14ac:dyDescent="0.2">
      <c r="D231" s="65" t="s">
        <v>309</v>
      </c>
    </row>
    <row r="232" spans="4:4" x14ac:dyDescent="0.2">
      <c r="D232" s="65" t="s">
        <v>310</v>
      </c>
    </row>
    <row r="233" spans="4:4" x14ac:dyDescent="0.2">
      <c r="D233" s="65" t="s">
        <v>311</v>
      </c>
    </row>
    <row r="234" spans="4:4" x14ac:dyDescent="0.2">
      <c r="D234" s="65" t="s">
        <v>312</v>
      </c>
    </row>
    <row r="235" spans="4:4" x14ac:dyDescent="0.2">
      <c r="D235" s="65" t="s">
        <v>313</v>
      </c>
    </row>
    <row r="236" spans="4:4" x14ac:dyDescent="0.2">
      <c r="D236" s="65" t="s">
        <v>314</v>
      </c>
    </row>
    <row r="237" spans="4:4" x14ac:dyDescent="0.2">
      <c r="D237" s="65" t="s">
        <v>315</v>
      </c>
    </row>
    <row r="238" spans="4:4" x14ac:dyDescent="0.2">
      <c r="D238" s="65" t="s">
        <v>316</v>
      </c>
    </row>
    <row r="239" spans="4:4" x14ac:dyDescent="0.2">
      <c r="D239" s="65" t="s">
        <v>317</v>
      </c>
    </row>
    <row r="240" spans="4:4" x14ac:dyDescent="0.2">
      <c r="D240" s="65" t="s">
        <v>318</v>
      </c>
    </row>
    <row r="241" spans="4:4" x14ac:dyDescent="0.2">
      <c r="D241" s="65" t="s">
        <v>319</v>
      </c>
    </row>
    <row r="242" spans="4:4" x14ac:dyDescent="0.2">
      <c r="D242" s="65" t="s">
        <v>320</v>
      </c>
    </row>
    <row r="243" spans="4:4" x14ac:dyDescent="0.2">
      <c r="D243" s="65" t="s">
        <v>321</v>
      </c>
    </row>
    <row r="244" spans="4:4" x14ac:dyDescent="0.2">
      <c r="D244" s="65" t="s">
        <v>322</v>
      </c>
    </row>
    <row r="245" spans="4:4" x14ac:dyDescent="0.2">
      <c r="D245" s="65" t="s">
        <v>323</v>
      </c>
    </row>
    <row r="246" spans="4:4" x14ac:dyDescent="0.2">
      <c r="D246" s="65" t="s">
        <v>324</v>
      </c>
    </row>
    <row r="247" spans="4:4" x14ac:dyDescent="0.2">
      <c r="D247" s="65" t="s">
        <v>325</v>
      </c>
    </row>
    <row r="248" spans="4:4" x14ac:dyDescent="0.2">
      <c r="D248" s="65" t="s">
        <v>326</v>
      </c>
    </row>
    <row r="249" spans="4:4" x14ac:dyDescent="0.2">
      <c r="D249" s="65" t="s">
        <v>327</v>
      </c>
    </row>
    <row r="250" spans="4:4" x14ac:dyDescent="0.2">
      <c r="D250" s="65" t="s">
        <v>328</v>
      </c>
    </row>
    <row r="251" spans="4:4" x14ac:dyDescent="0.2">
      <c r="D251" s="65" t="s">
        <v>329</v>
      </c>
    </row>
    <row r="252" spans="4:4" x14ac:dyDescent="0.2">
      <c r="D252" s="65" t="s">
        <v>330</v>
      </c>
    </row>
    <row r="253" spans="4:4" x14ac:dyDescent="0.2">
      <c r="D253" s="65" t="s">
        <v>331</v>
      </c>
    </row>
    <row r="254" spans="4:4" x14ac:dyDescent="0.2">
      <c r="D254" s="65" t="s">
        <v>332</v>
      </c>
    </row>
    <row r="255" spans="4:4" x14ac:dyDescent="0.2">
      <c r="D255" s="65" t="s">
        <v>333</v>
      </c>
    </row>
    <row r="256" spans="4:4" x14ac:dyDescent="0.2">
      <c r="D256" s="65" t="s">
        <v>334</v>
      </c>
    </row>
    <row r="257" spans="4:4" x14ac:dyDescent="0.2">
      <c r="D257" s="65" t="s">
        <v>335</v>
      </c>
    </row>
    <row r="258" spans="4:4" x14ac:dyDescent="0.2">
      <c r="D258" s="65" t="s">
        <v>336</v>
      </c>
    </row>
    <row r="259" spans="4:4" x14ac:dyDescent="0.2">
      <c r="D259" s="65" t="s">
        <v>337</v>
      </c>
    </row>
    <row r="260" spans="4:4" x14ac:dyDescent="0.2">
      <c r="D260" s="65" t="s">
        <v>338</v>
      </c>
    </row>
    <row r="261" spans="4:4" x14ac:dyDescent="0.2">
      <c r="D261" s="65" t="s">
        <v>339</v>
      </c>
    </row>
    <row r="262" spans="4:4" x14ac:dyDescent="0.2">
      <c r="D262" s="65" t="s">
        <v>340</v>
      </c>
    </row>
    <row r="263" spans="4:4" x14ac:dyDescent="0.2">
      <c r="D263" s="65" t="s">
        <v>341</v>
      </c>
    </row>
    <row r="264" spans="4:4" x14ac:dyDescent="0.2">
      <c r="D264" s="65" t="s">
        <v>342</v>
      </c>
    </row>
    <row r="265" spans="4:4" x14ac:dyDescent="0.2">
      <c r="D265" s="65" t="s">
        <v>343</v>
      </c>
    </row>
    <row r="266" spans="4:4" x14ac:dyDescent="0.2">
      <c r="D266" s="65" t="s">
        <v>344</v>
      </c>
    </row>
    <row r="267" spans="4:4" x14ac:dyDescent="0.2">
      <c r="D267" s="65" t="s">
        <v>345</v>
      </c>
    </row>
    <row r="268" spans="4:4" x14ac:dyDescent="0.2">
      <c r="D268" s="65" t="s">
        <v>346</v>
      </c>
    </row>
  </sheetData>
  <sheetProtection algorithmName="SHA-512" hashValue="WTnJRoed/J2IEKw+CKPnRD07yc/zXq3/8hFudNRqbYhztDYo2dHjkiMK8g9JHVhQ0a//m9TZlbXKQB2nLX6kwg==" saltValue="O7dbd8e31aRh4sgc7sRzgg==" spinCount="100000" sheet="1" objects="1" scenarios="1" formatCells="0" formatColumns="0" formatRows="0" insertColumns="0" insertRows="0" insertHyperlinks="0" deleteColumns="0" deleteRows="0" autoFilter="0"/>
  <mergeCells count="1">
    <mergeCell ref="F7:G7"/>
  </mergeCells>
  <conditionalFormatting sqref="A1">
    <cfRule type="containsText" dxfId="1" priority="1" stopIfTrue="1" operator="containsText" text="Err">
      <formula>NOT(ISERROR(SEARCH("Err",A1)))</formula>
    </cfRule>
  </conditionalFormatting>
  <dataValidations count="3">
    <dataValidation type="list" allowBlank="1" showInputMessage="1" showErrorMessage="1" sqref="A1">
      <formula1>l_OKErr</formula1>
    </dataValidation>
    <dataValidation type="list" allowBlank="1" showInputMessage="1" showErrorMessage="1" sqref="F7:G7">
      <formula1>INDIRECT("Admin!" &amp; $G$5)</formula1>
    </dataValidation>
    <dataValidation type="list" allowBlank="1" showInputMessage="1" showErrorMessage="1" sqref="F6">
      <formula1>(OFFSET($E$12,0,0,1,$F$4))</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1" tint="0.499984740745262"/>
  </sheetPr>
  <dimension ref="A1:AK134"/>
  <sheetViews>
    <sheetView zoomScaleNormal="100" workbookViewId="0">
      <selection activeCell="B31" sqref="B31"/>
    </sheetView>
  </sheetViews>
  <sheetFormatPr defaultColWidth="9.140625" defaultRowHeight="12.75" x14ac:dyDescent="0.2"/>
  <cols>
    <col min="1" max="1" width="5.28515625" style="31" customWidth="1"/>
    <col min="2" max="2" width="9.140625" style="31"/>
    <col min="3" max="3" width="10.140625" style="31" customWidth="1"/>
    <col min="4" max="5" width="9.140625" style="31"/>
    <col min="6" max="7" width="9.140625" style="31" customWidth="1"/>
    <col min="8" max="15" width="9.140625" style="31"/>
    <col min="16" max="16" width="11.5703125" style="31" bestFit="1" customWidth="1"/>
    <col min="17" max="16384" width="9.140625" style="31"/>
  </cols>
  <sheetData>
    <row r="1" spans="1:21" x14ac:dyDescent="0.2">
      <c r="A1" s="74" t="s">
        <v>2</v>
      </c>
      <c r="C1" s="61"/>
      <c r="D1" s="61"/>
      <c r="E1" s="61"/>
      <c r="F1" s="61"/>
      <c r="G1" s="61"/>
      <c r="I1" s="32"/>
      <c r="R1" s="188"/>
      <c r="T1" s="188"/>
    </row>
    <row r="2" spans="1:21" x14ac:dyDescent="0.2">
      <c r="B2" s="94" t="s">
        <v>37</v>
      </c>
      <c r="C2" s="67"/>
      <c r="D2" s="67"/>
      <c r="I2" s="32"/>
      <c r="R2" s="188"/>
      <c r="T2" s="188"/>
    </row>
    <row r="3" spans="1:21" x14ac:dyDescent="0.2">
      <c r="B3" s="95" t="s">
        <v>382</v>
      </c>
      <c r="C3" s="96" t="str">
        <f ca="1">(MID(CELL("filename",$AD$1),FIND("]",CELL("filename",$AD$1))+1,31))</f>
        <v>Units</v>
      </c>
      <c r="I3" s="32"/>
      <c r="R3" s="188"/>
      <c r="T3" s="188"/>
    </row>
    <row r="4" spans="1:21" x14ac:dyDescent="0.2">
      <c r="B4" s="94" t="s">
        <v>389</v>
      </c>
      <c r="C4" s="67"/>
      <c r="D4" s="67"/>
      <c r="I4" s="32"/>
      <c r="R4" s="188"/>
      <c r="T4" s="188"/>
    </row>
    <row r="5" spans="1:21" x14ac:dyDescent="0.2">
      <c r="Q5" s="31" t="s">
        <v>533</v>
      </c>
      <c r="R5" s="188"/>
    </row>
    <row r="6" spans="1:21" x14ac:dyDescent="0.2">
      <c r="B6" s="33"/>
      <c r="C6" s="34">
        <f ca="1">20-COUNTIF(C$8:C$27,0)</f>
        <v>9</v>
      </c>
      <c r="G6" s="35" t="s">
        <v>92</v>
      </c>
      <c r="H6" s="36"/>
      <c r="I6" s="37" t="s">
        <v>347</v>
      </c>
      <c r="J6" s="38"/>
      <c r="K6" s="39"/>
      <c r="L6" s="40" t="s">
        <v>348</v>
      </c>
      <c r="M6" s="41"/>
      <c r="N6" s="39"/>
      <c r="Q6" s="191" t="str">
        <f>"a_ReptUnits" &amp; Q7</f>
        <v>a_ReptUnitsEnergy</v>
      </c>
      <c r="R6" s="124">
        <f ca="1">ROWS(R8:R27)-COUNTBLANK(R8:R27)</f>
        <v>7</v>
      </c>
      <c r="T6" s="191" t="str">
        <f>"a_ReptUnits" &amp; T7</f>
        <v>a_ReptUnitsCarbon</v>
      </c>
      <c r="U6" s="124">
        <f>ROWS(U8:U27)-COUNTBLANK(U8:U27)</f>
        <v>4</v>
      </c>
    </row>
    <row r="7" spans="1:21" x14ac:dyDescent="0.2">
      <c r="A7" s="42" t="s">
        <v>89</v>
      </c>
      <c r="B7" s="43" t="s">
        <v>90</v>
      </c>
      <c r="C7" s="100" t="s">
        <v>349</v>
      </c>
      <c r="D7" s="30" t="s">
        <v>350</v>
      </c>
      <c r="E7" s="99" t="s">
        <v>351</v>
      </c>
      <c r="F7" s="30" t="s">
        <v>91</v>
      </c>
      <c r="G7" s="43" t="s">
        <v>352</v>
      </c>
      <c r="H7" s="44" t="s">
        <v>93</v>
      </c>
      <c r="I7" s="30" t="s">
        <v>352</v>
      </c>
      <c r="J7" s="45" t="s">
        <v>353</v>
      </c>
      <c r="K7" s="46"/>
      <c r="L7" s="98" t="s">
        <v>354</v>
      </c>
      <c r="M7" s="45" t="s">
        <v>355</v>
      </c>
      <c r="N7" s="46"/>
      <c r="Q7" s="190" t="s">
        <v>43</v>
      </c>
      <c r="R7" s="188" t="s">
        <v>51</v>
      </c>
      <c r="T7" s="190" t="s">
        <v>534</v>
      </c>
      <c r="U7" s="189" t="s">
        <v>51</v>
      </c>
    </row>
    <row r="8" spans="1:21" x14ac:dyDescent="0.2">
      <c r="A8" s="47" t="b">
        <f t="shared" ref="A8:A27" ca="1" si="0">(D8&lt;&gt;0)</f>
        <v>1</v>
      </c>
      <c r="B8" s="48">
        <v>1</v>
      </c>
      <c r="C8" s="49" t="str">
        <f t="shared" ref="C8:C27" ca="1" si="1">OFFSET($A$30,0,$B8*4-2)</f>
        <v>Weight</v>
      </c>
      <c r="D8" s="49" t="str">
        <f t="array" aca="1" ref="D8:F8" ca="1">OFFSET($A$31,0,$B8*4-2,1,3)</f>
        <v>w</v>
      </c>
      <c r="E8" s="49" t="str">
        <f ca="1"/>
        <v>t</v>
      </c>
      <c r="F8" s="49">
        <f ca="1"/>
        <v>7</v>
      </c>
      <c r="G8" s="59" t="str">
        <f ca="1">IF($A8,"u_"&amp;$C8,"")</f>
        <v>u_Weight</v>
      </c>
      <c r="H8" s="50" t="str">
        <f t="shared" ref="H8:H27" ca="1" si="2">IF($A8, "'" &amp; $C$3 &amp; "'!" &amp; INDEX(l_Cols, $B8*4) &amp; $B$31, "")</f>
        <v>'Units'!D31</v>
      </c>
      <c r="I8" s="59" t="str">
        <f ca="1">IF($A8,"l_"&amp;$C8,"")</f>
        <v>l_Weight</v>
      </c>
      <c r="J8" s="32" t="str">
        <f t="shared" ref="J8:J27" ca="1" si="3">IF($A8, "'" &amp; $C$3 &amp; "'!" &amp; INDEX(l_Cols, $B8*4-1) &amp; ($B$31+3) &amp; ":" &amp; INDEX(l_Cols, $B8*4-1) &amp; ($B$31+2+$F8),"")</f>
        <v>'Units'!C34:C40</v>
      </c>
      <c r="L8" s="59" t="str">
        <f ca="1">IF($A8,"a_"&amp;$C8,"")</f>
        <v>a_Weight</v>
      </c>
      <c r="M8" s="51" t="str">
        <f t="shared" ref="M8:M27" ca="1" si="4">IF($A8, "'" &amp; $C$3 &amp; "'!" &amp; INDEX(l_Cols, $B8*4-1) &amp; ($B$31+3) &amp; ":" &amp; INDEX(l_Cols, $B8*4+1) &amp; ($B$31+2+$F8),"")</f>
        <v>'Units'!C34:E40</v>
      </c>
      <c r="Q8" s="190" t="s">
        <v>539</v>
      </c>
      <c r="R8" s="188">
        <f ca="1" xml:space="preserve"> VLOOKUP("GWh",a_Energy,2,FALSE) / VLOOKUP(SUBSTITUTE($Q8,"/yr",""),a_Energy,2,FALSE)</f>
        <v>1000000</v>
      </c>
      <c r="T8" s="190" t="s">
        <v>543</v>
      </c>
      <c r="U8" s="188">
        <f>U9*1000</f>
        <v>1000</v>
      </c>
    </row>
    <row r="9" spans="1:21" x14ac:dyDescent="0.2">
      <c r="A9" s="52" t="b">
        <f t="shared" ca="1" si="0"/>
        <v>1</v>
      </c>
      <c r="B9" s="48">
        <v>2</v>
      </c>
      <c r="C9" s="49" t="str">
        <f t="shared" ca="1" si="1"/>
        <v>Distance</v>
      </c>
      <c r="D9" s="49" t="str">
        <f t="array" aca="1" ref="D9:F9" ca="1">OFFSET($A$31,0,$B9*4-2,1,3)</f>
        <v>d</v>
      </c>
      <c r="E9" s="49" t="str">
        <f ca="1"/>
        <v>mile</v>
      </c>
      <c r="F9" s="49">
        <f ca="1"/>
        <v>5</v>
      </c>
      <c r="G9" s="59" t="str">
        <f t="shared" ref="G9:G27" ca="1" si="5">IF($A9,"u_"&amp;$C9,"")</f>
        <v>u_Distance</v>
      </c>
      <c r="H9" s="50" t="str">
        <f t="shared" ca="1" si="2"/>
        <v>'Units'!H31</v>
      </c>
      <c r="I9" s="60" t="str">
        <f t="shared" ref="I9:I27" ca="1" si="6">IF($A9,"l_"&amp;$C9,"")</f>
        <v>l_Distance</v>
      </c>
      <c r="J9" s="32" t="str">
        <f t="shared" ca="1" si="3"/>
        <v>'Units'!G34:G38</v>
      </c>
      <c r="L9" s="59" t="str">
        <f t="shared" ref="L9:L27" ca="1" si="7">IF($A9,"a_"&amp;$C9,"")</f>
        <v>a_Distance</v>
      </c>
      <c r="M9" s="51" t="str">
        <f t="shared" ca="1" si="4"/>
        <v>'Units'!G34:I38</v>
      </c>
      <c r="Q9" s="190" t="s">
        <v>537</v>
      </c>
      <c r="R9" s="188">
        <f ca="1" xml:space="preserve"> VLOOKUP("GWh",a_Energy,2,FALSE) / VLOOKUP(SUBSTITUTE($Q9,"/yr",""),a_Energy,2,FALSE)</f>
        <v>1000</v>
      </c>
      <c r="T9" s="190" t="s">
        <v>544</v>
      </c>
      <c r="U9" s="188">
        <v>1</v>
      </c>
    </row>
    <row r="10" spans="1:21" x14ac:dyDescent="0.2">
      <c r="A10" s="52" t="b">
        <f t="shared" ca="1" si="0"/>
        <v>1</v>
      </c>
      <c r="B10" s="48">
        <v>3</v>
      </c>
      <c r="C10" s="49" t="str">
        <f t="shared" ca="1" si="1"/>
        <v>Volume</v>
      </c>
      <c r="D10" s="49" t="str">
        <f t="array" aca="1" ref="D10:F10" ca="1">OFFSET($A$31,0,$B10*4-2,1,3)</f>
        <v>v</v>
      </c>
      <c r="E10" s="49" t="str">
        <f ca="1"/>
        <v>l</v>
      </c>
      <c r="F10" s="49">
        <f ca="1"/>
        <v>5</v>
      </c>
      <c r="G10" s="59" t="str">
        <f t="shared" ca="1" si="5"/>
        <v>u_Volume</v>
      </c>
      <c r="H10" s="50" t="str">
        <f t="shared" ca="1" si="2"/>
        <v>'Units'!L31</v>
      </c>
      <c r="I10" s="60" t="str">
        <f t="shared" ca="1" si="6"/>
        <v>l_Volume</v>
      </c>
      <c r="J10" s="32" t="str">
        <f t="shared" ca="1" si="3"/>
        <v>'Units'!K34:K38</v>
      </c>
      <c r="L10" s="59" t="str">
        <f t="shared" ca="1" si="7"/>
        <v>a_Volume</v>
      </c>
      <c r="M10" s="51" t="str">
        <f t="shared" ca="1" si="4"/>
        <v>'Units'!K34:M38</v>
      </c>
      <c r="Q10" s="190" t="s">
        <v>444</v>
      </c>
      <c r="R10" s="188">
        <v>1</v>
      </c>
      <c r="T10" s="190" t="s">
        <v>545</v>
      </c>
      <c r="U10" s="188">
        <f>U9/1000</f>
        <v>1E-3</v>
      </c>
    </row>
    <row r="11" spans="1:21" x14ac:dyDescent="0.2">
      <c r="A11" s="52" t="b">
        <f t="shared" ca="1" si="0"/>
        <v>1</v>
      </c>
      <c r="B11" s="48">
        <v>4</v>
      </c>
      <c r="C11" s="49" t="str">
        <f t="shared" ca="1" si="1"/>
        <v>Energy</v>
      </c>
      <c r="D11" s="49" t="str">
        <f t="array" aca="1" ref="D11:F11" ca="1">OFFSET($A$31,0,$B11*4-2,1,3)</f>
        <v>e</v>
      </c>
      <c r="E11" s="49" t="str">
        <f ca="1"/>
        <v>MJ</v>
      </c>
      <c r="F11" s="49">
        <f ca="1"/>
        <v>10</v>
      </c>
      <c r="G11" s="59" t="str">
        <f t="shared" ca="1" si="5"/>
        <v>u_Energy</v>
      </c>
      <c r="H11" s="50" t="str">
        <f t="shared" ca="1" si="2"/>
        <v>'Units'!P31</v>
      </c>
      <c r="I11" s="60" t="str">
        <f t="shared" ca="1" si="6"/>
        <v>l_Energy</v>
      </c>
      <c r="J11" s="32" t="str">
        <f t="shared" ca="1" si="3"/>
        <v>'Units'!O34:O43</v>
      </c>
      <c r="L11" s="59" t="str">
        <f t="shared" ca="1" si="7"/>
        <v>a_Energy</v>
      </c>
      <c r="M11" s="51" t="str">
        <f t="shared" ca="1" si="4"/>
        <v>'Units'!O34:Q43</v>
      </c>
      <c r="Q11" s="190" t="s">
        <v>538</v>
      </c>
      <c r="R11" s="188">
        <f ca="1" xml:space="preserve"> VLOOKUP("GWh",a_Energy,2,FALSE) / VLOOKUP(SUBSTITUTE($Q11,"/yr",""),a_Energy,2,FALSE)</f>
        <v>1E-3</v>
      </c>
      <c r="T11" s="190" t="s">
        <v>546</v>
      </c>
      <c r="U11" s="188">
        <f>U10/1000</f>
        <v>9.9999999999999995E-7</v>
      </c>
    </row>
    <row r="12" spans="1:21" x14ac:dyDescent="0.2">
      <c r="A12" s="52" t="b">
        <f t="shared" ca="1" si="0"/>
        <v>1</v>
      </c>
      <c r="B12" s="48">
        <v>5</v>
      </c>
      <c r="C12" s="49" t="str">
        <f t="shared" ca="1" si="1"/>
        <v>Freight</v>
      </c>
      <c r="D12" s="49" t="str">
        <f t="array" aca="1" ref="D12:F12" ca="1">OFFSET($A$31,0,$B12*4-2,1,3)</f>
        <v>f</v>
      </c>
      <c r="E12" s="49" t="str">
        <f ca="1"/>
        <v>te.km</v>
      </c>
      <c r="F12" s="49">
        <f ca="1"/>
        <v>5</v>
      </c>
      <c r="G12" s="59" t="str">
        <f t="shared" ca="1" si="5"/>
        <v>u_Freight</v>
      </c>
      <c r="H12" s="50" t="str">
        <f t="shared" ca="1" si="2"/>
        <v>'Units'!T31</v>
      </c>
      <c r="I12" s="60" t="str">
        <f t="shared" ca="1" si="6"/>
        <v>l_Freight</v>
      </c>
      <c r="J12" s="32" t="str">
        <f t="shared" ca="1" si="3"/>
        <v>'Units'!S34:S38</v>
      </c>
      <c r="L12" s="59" t="str">
        <f t="shared" ca="1" si="7"/>
        <v>a_Freight</v>
      </c>
      <c r="M12" s="51" t="str">
        <f t="shared" ca="1" si="4"/>
        <v>'Units'!S34:U38</v>
      </c>
      <c r="Q12" s="190" t="s">
        <v>540</v>
      </c>
      <c r="R12" s="188">
        <f ca="1" xml:space="preserve"> VLOOKUP("GWh",a_Energy,2,FALSE) / VLOOKUP(SUBSTITUTE($Q12,"/yr",""),a_Energy,2,FALSE)</f>
        <v>3600000</v>
      </c>
      <c r="T12" s="190"/>
      <c r="U12" s="188"/>
    </row>
    <row r="13" spans="1:21" x14ac:dyDescent="0.2">
      <c r="A13" s="52" t="b">
        <f t="shared" ca="1" si="0"/>
        <v>1</v>
      </c>
      <c r="B13" s="48">
        <v>6</v>
      </c>
      <c r="C13" s="49" t="str">
        <f t="shared" ca="1" si="1"/>
        <v>Time</v>
      </c>
      <c r="D13" s="49" t="str">
        <f t="array" aca="1" ref="D13:F13" ca="1">OFFSET($A$31,0,$B13*4-2,1,3)</f>
        <v>t</v>
      </c>
      <c r="E13" s="49" t="str">
        <f ca="1"/>
        <v>yr</v>
      </c>
      <c r="F13" s="49">
        <f ca="1"/>
        <v>7</v>
      </c>
      <c r="G13" s="59" t="str">
        <f t="shared" ca="1" si="5"/>
        <v>u_Time</v>
      </c>
      <c r="H13" s="50" t="str">
        <f t="shared" ca="1" si="2"/>
        <v>'Units'!X31</v>
      </c>
      <c r="I13" s="60" t="str">
        <f t="shared" ca="1" si="6"/>
        <v>l_Time</v>
      </c>
      <c r="J13" s="32" t="str">
        <f t="shared" ca="1" si="3"/>
        <v>'Units'!W34:W40</v>
      </c>
      <c r="L13" s="59" t="str">
        <f t="shared" ca="1" si="7"/>
        <v>a_Time</v>
      </c>
      <c r="M13" s="51" t="str">
        <f t="shared" ca="1" si="4"/>
        <v>'Units'!W34:Y40</v>
      </c>
      <c r="Q13" s="190" t="s">
        <v>541</v>
      </c>
      <c r="R13" s="188">
        <f ca="1" xml:space="preserve"> VLOOKUP("GWh",a_Energy,2,FALSE) / VLOOKUP(SUBSTITUTE($Q13,"/yr",""),a_Energy,2,FALSE)</f>
        <v>3600</v>
      </c>
      <c r="T13" s="190"/>
      <c r="U13" s="188"/>
    </row>
    <row r="14" spans="1:21" x14ac:dyDescent="0.2">
      <c r="A14" s="52" t="b">
        <f t="shared" ca="1" si="0"/>
        <v>1</v>
      </c>
      <c r="B14" s="48">
        <v>7</v>
      </c>
      <c r="C14" s="49" t="str">
        <f t="shared" ca="1" si="1"/>
        <v>Area</v>
      </c>
      <c r="D14" s="49" t="str">
        <f t="array" aca="1" ref="D14:F14" ca="1">OFFSET($A$31,0,$B14*4-2,1,3)</f>
        <v>a</v>
      </c>
      <c r="E14" s="49" t="str">
        <f ca="1"/>
        <v>m^2</v>
      </c>
      <c r="F14" s="49">
        <f ca="1"/>
        <v>7</v>
      </c>
      <c r="G14" s="59" t="str">
        <f t="shared" ca="1" si="5"/>
        <v>u_Area</v>
      </c>
      <c r="H14" s="50" t="str">
        <f t="shared" ca="1" si="2"/>
        <v>'Units'!AB31</v>
      </c>
      <c r="I14" s="60" t="str">
        <f t="shared" ca="1" si="6"/>
        <v>l_Area</v>
      </c>
      <c r="J14" s="32" t="str">
        <f t="shared" ca="1" si="3"/>
        <v>'Units'!AA34:AA40</v>
      </c>
      <c r="L14" s="59" t="str">
        <f t="shared" ca="1" si="7"/>
        <v>a_Area</v>
      </c>
      <c r="M14" s="51" t="str">
        <f t="shared" ca="1" si="4"/>
        <v>'Units'!AA34:AC40</v>
      </c>
      <c r="Q14" s="190" t="s">
        <v>542</v>
      </c>
      <c r="R14" s="188">
        <f ca="1" xml:space="preserve"> VLOOKUP("GWh",a_Energy,2,FALSE) / VLOOKUP(SUBSTITUTE($Q14,"/yr",""),a_Energy,2,FALSE)</f>
        <v>3.6</v>
      </c>
      <c r="T14" s="190"/>
      <c r="U14" s="188"/>
    </row>
    <row r="15" spans="1:21" x14ac:dyDescent="0.2">
      <c r="A15" s="52" t="b">
        <f t="shared" ca="1" si="0"/>
        <v>1</v>
      </c>
      <c r="B15" s="48">
        <v>8</v>
      </c>
      <c r="C15" s="49" t="str">
        <f t="shared" ca="1" si="1"/>
        <v>Speed</v>
      </c>
      <c r="D15" s="49" t="str">
        <f t="array" aca="1" ref="D15:F15" ca="1">OFFSET($A$31,0,$B15*4-2,1,3)</f>
        <v>s</v>
      </c>
      <c r="E15" s="49" t="str">
        <f ca="1"/>
        <v>kph</v>
      </c>
      <c r="F15" s="49">
        <f ca="1"/>
        <v>3</v>
      </c>
      <c r="G15" s="59" t="str">
        <f t="shared" ca="1" si="5"/>
        <v>u_Speed</v>
      </c>
      <c r="H15" s="50" t="str">
        <f t="shared" ca="1" si="2"/>
        <v>'Units'!AF31</v>
      </c>
      <c r="I15" s="60" t="str">
        <f t="shared" ca="1" si="6"/>
        <v>l_Speed</v>
      </c>
      <c r="J15" s="32" t="str">
        <f t="shared" ca="1" si="3"/>
        <v>'Units'!AE34:AE36</v>
      </c>
      <c r="L15" s="59" t="str">
        <f t="shared" ca="1" si="7"/>
        <v>a_Speed</v>
      </c>
      <c r="M15" s="51" t="str">
        <f t="shared" ca="1" si="4"/>
        <v>'Units'!AE34:AG36</v>
      </c>
      <c r="Q15" s="190"/>
      <c r="R15" s="188"/>
      <c r="T15" s="190"/>
      <c r="U15" s="188"/>
    </row>
    <row r="16" spans="1:21" x14ac:dyDescent="0.2">
      <c r="A16" s="52" t="b">
        <f t="shared" ca="1" si="0"/>
        <v>1</v>
      </c>
      <c r="B16" s="48">
        <v>9</v>
      </c>
      <c r="C16" s="49" t="str">
        <f t="shared" ca="1" si="1"/>
        <v>Count</v>
      </c>
      <c r="D16" s="49" t="str">
        <f t="array" aca="1" ref="D16:F16" ca="1">OFFSET($A$31,0,$B16*4-2,1,3)</f>
        <v>c</v>
      </c>
      <c r="E16" s="49" t="str">
        <f ca="1"/>
        <v>none</v>
      </c>
      <c r="F16" s="49">
        <f ca="1"/>
        <v>5</v>
      </c>
      <c r="G16" s="59" t="str">
        <f t="shared" ca="1" si="5"/>
        <v>u_Count</v>
      </c>
      <c r="H16" s="50" t="str">
        <f t="shared" ca="1" si="2"/>
        <v>'Units'!AJ31</v>
      </c>
      <c r="I16" s="60" t="str">
        <f t="shared" ca="1" si="6"/>
        <v>l_Count</v>
      </c>
      <c r="J16" s="32" t="str">
        <f t="shared" ca="1" si="3"/>
        <v>'Units'!AI34:AI38</v>
      </c>
      <c r="L16" s="59" t="str">
        <f t="shared" ca="1" si="7"/>
        <v>a_Count</v>
      </c>
      <c r="M16" s="51" t="str">
        <f t="shared" ca="1" si="4"/>
        <v>'Units'!AI34:AK38</v>
      </c>
      <c r="Q16" s="190"/>
      <c r="R16" s="188"/>
      <c r="T16" s="190"/>
      <c r="U16" s="188"/>
    </row>
    <row r="17" spans="1:37" x14ac:dyDescent="0.2">
      <c r="A17" s="52" t="b">
        <f t="shared" ca="1" si="0"/>
        <v>0</v>
      </c>
      <c r="B17" s="48">
        <v>10</v>
      </c>
      <c r="C17" s="49">
        <f t="shared" ca="1" si="1"/>
        <v>0</v>
      </c>
      <c r="D17" s="49">
        <f t="array" aca="1" ref="D17:F17" ca="1">OFFSET($A$31,0,$B17*4-2,1,3)</f>
        <v>0</v>
      </c>
      <c r="E17" s="49">
        <f ca="1"/>
        <v>0</v>
      </c>
      <c r="F17" s="49">
        <f ca="1"/>
        <v>0</v>
      </c>
      <c r="G17" s="59" t="str">
        <f t="shared" ca="1" si="5"/>
        <v/>
      </c>
      <c r="H17" s="50" t="str">
        <f t="shared" ca="1" si="2"/>
        <v/>
      </c>
      <c r="I17" s="60" t="str">
        <f t="shared" ca="1" si="6"/>
        <v/>
      </c>
      <c r="J17" s="32" t="str">
        <f t="shared" ca="1" si="3"/>
        <v/>
      </c>
      <c r="L17" s="59" t="str">
        <f t="shared" ca="1" si="7"/>
        <v/>
      </c>
      <c r="M17" s="51" t="str">
        <f t="shared" ca="1" si="4"/>
        <v/>
      </c>
      <c r="Q17" s="190"/>
      <c r="R17" s="188"/>
      <c r="T17" s="190"/>
      <c r="U17" s="188"/>
    </row>
    <row r="18" spans="1:37" x14ac:dyDescent="0.2">
      <c r="A18" s="52" t="b">
        <f t="shared" ca="1" si="0"/>
        <v>0</v>
      </c>
      <c r="B18" s="48">
        <v>11</v>
      </c>
      <c r="C18" s="49">
        <f t="shared" ca="1" si="1"/>
        <v>0</v>
      </c>
      <c r="D18" s="49">
        <f t="array" aca="1" ref="D18:F18" ca="1">OFFSET($A$31,0,$B18*4-2,1,3)</f>
        <v>0</v>
      </c>
      <c r="E18" s="49">
        <f ca="1"/>
        <v>0</v>
      </c>
      <c r="F18" s="49">
        <f ca="1"/>
        <v>0</v>
      </c>
      <c r="G18" s="59" t="str">
        <f t="shared" ca="1" si="5"/>
        <v/>
      </c>
      <c r="H18" s="50" t="str">
        <f t="shared" ca="1" si="2"/>
        <v/>
      </c>
      <c r="I18" s="60" t="str">
        <f t="shared" ca="1" si="6"/>
        <v/>
      </c>
      <c r="J18" s="32" t="str">
        <f t="shared" ca="1" si="3"/>
        <v/>
      </c>
      <c r="L18" s="59" t="str">
        <f t="shared" ca="1" si="7"/>
        <v/>
      </c>
      <c r="M18" s="51" t="str">
        <f t="shared" ca="1" si="4"/>
        <v/>
      </c>
      <c r="Q18" s="190"/>
      <c r="R18" s="188"/>
      <c r="T18" s="190"/>
      <c r="U18" s="188"/>
    </row>
    <row r="19" spans="1:37" x14ac:dyDescent="0.2">
      <c r="A19" s="52" t="b">
        <f t="shared" ca="1" si="0"/>
        <v>0</v>
      </c>
      <c r="B19" s="48">
        <v>12</v>
      </c>
      <c r="C19" s="49">
        <f t="shared" ca="1" si="1"/>
        <v>0</v>
      </c>
      <c r="D19" s="49">
        <f t="array" aca="1" ref="D19:F19" ca="1">OFFSET($A$31,0,$B19*4-2,1,3)</f>
        <v>0</v>
      </c>
      <c r="E19" s="49">
        <f ca="1"/>
        <v>0</v>
      </c>
      <c r="F19" s="49">
        <f ca="1"/>
        <v>0</v>
      </c>
      <c r="G19" s="59" t="str">
        <f t="shared" ca="1" si="5"/>
        <v/>
      </c>
      <c r="H19" s="50" t="str">
        <f t="shared" ca="1" si="2"/>
        <v/>
      </c>
      <c r="I19" s="60" t="str">
        <f t="shared" ca="1" si="6"/>
        <v/>
      </c>
      <c r="J19" s="32" t="str">
        <f t="shared" ca="1" si="3"/>
        <v/>
      </c>
      <c r="L19" s="59" t="str">
        <f t="shared" ca="1" si="7"/>
        <v/>
      </c>
      <c r="M19" s="51" t="str">
        <f t="shared" ca="1" si="4"/>
        <v/>
      </c>
      <c r="Q19" s="190"/>
      <c r="R19" s="188"/>
      <c r="T19" s="190"/>
      <c r="U19" s="188"/>
    </row>
    <row r="20" spans="1:37" x14ac:dyDescent="0.2">
      <c r="A20" s="52" t="b">
        <f t="shared" ca="1" si="0"/>
        <v>0</v>
      </c>
      <c r="B20" s="48">
        <v>13</v>
      </c>
      <c r="C20" s="49">
        <f t="shared" ca="1" si="1"/>
        <v>0</v>
      </c>
      <c r="D20" s="49">
        <f t="array" aca="1" ref="D20:F20" ca="1">OFFSET($A$31,0,$B20*4-2,1,3)</f>
        <v>0</v>
      </c>
      <c r="E20" s="49">
        <f ca="1"/>
        <v>0</v>
      </c>
      <c r="F20" s="49">
        <f ca="1"/>
        <v>0</v>
      </c>
      <c r="G20" s="59" t="str">
        <f t="shared" ca="1" si="5"/>
        <v/>
      </c>
      <c r="H20" s="50" t="str">
        <f t="shared" ca="1" si="2"/>
        <v/>
      </c>
      <c r="I20" s="60" t="str">
        <f t="shared" ca="1" si="6"/>
        <v/>
      </c>
      <c r="J20" s="32" t="str">
        <f t="shared" ca="1" si="3"/>
        <v/>
      </c>
      <c r="L20" s="59" t="str">
        <f t="shared" ca="1" si="7"/>
        <v/>
      </c>
      <c r="M20" s="51" t="str">
        <f t="shared" ca="1" si="4"/>
        <v/>
      </c>
      <c r="Q20" s="190"/>
      <c r="R20" s="188"/>
      <c r="T20" s="190"/>
      <c r="U20" s="188"/>
    </row>
    <row r="21" spans="1:37" x14ac:dyDescent="0.2">
      <c r="A21" s="52" t="b">
        <f t="shared" ca="1" si="0"/>
        <v>0</v>
      </c>
      <c r="B21" s="48">
        <v>14</v>
      </c>
      <c r="C21" s="49">
        <f t="shared" ca="1" si="1"/>
        <v>0</v>
      </c>
      <c r="D21" s="49">
        <f t="array" aca="1" ref="D21:F21" ca="1">OFFSET($A$31,0,$B21*4-2,1,3)</f>
        <v>0</v>
      </c>
      <c r="E21" s="49">
        <f ca="1"/>
        <v>0</v>
      </c>
      <c r="F21" s="49">
        <f ca="1"/>
        <v>0</v>
      </c>
      <c r="G21" s="59" t="str">
        <f t="shared" ca="1" si="5"/>
        <v/>
      </c>
      <c r="H21" s="50" t="str">
        <f t="shared" ca="1" si="2"/>
        <v/>
      </c>
      <c r="I21" s="60" t="str">
        <f t="shared" ca="1" si="6"/>
        <v/>
      </c>
      <c r="J21" s="32" t="str">
        <f t="shared" ca="1" si="3"/>
        <v/>
      </c>
      <c r="L21" s="59" t="str">
        <f t="shared" ca="1" si="7"/>
        <v/>
      </c>
      <c r="M21" s="51" t="str">
        <f t="shared" ca="1" si="4"/>
        <v/>
      </c>
      <c r="Q21" s="190"/>
      <c r="R21" s="188"/>
      <c r="T21" s="190"/>
      <c r="U21" s="188"/>
    </row>
    <row r="22" spans="1:37" x14ac:dyDescent="0.2">
      <c r="A22" s="52" t="b">
        <f t="shared" ca="1" si="0"/>
        <v>0</v>
      </c>
      <c r="B22" s="48">
        <v>15</v>
      </c>
      <c r="C22" s="49">
        <f t="shared" ca="1" si="1"/>
        <v>0</v>
      </c>
      <c r="D22" s="49">
        <f t="array" aca="1" ref="D22:F22" ca="1">OFFSET($A$31,0,$B22*4-2,1,3)</f>
        <v>0</v>
      </c>
      <c r="E22" s="49">
        <f ca="1"/>
        <v>0</v>
      </c>
      <c r="F22" s="49">
        <f ca="1"/>
        <v>0</v>
      </c>
      <c r="G22" s="59" t="str">
        <f t="shared" ca="1" si="5"/>
        <v/>
      </c>
      <c r="H22" s="50" t="str">
        <f t="shared" ca="1" si="2"/>
        <v/>
      </c>
      <c r="I22" s="60" t="str">
        <f t="shared" ca="1" si="6"/>
        <v/>
      </c>
      <c r="J22" s="32" t="str">
        <f t="shared" ca="1" si="3"/>
        <v/>
      </c>
      <c r="L22" s="59" t="str">
        <f t="shared" ca="1" si="7"/>
        <v/>
      </c>
      <c r="M22" s="51" t="str">
        <f t="shared" ca="1" si="4"/>
        <v/>
      </c>
      <c r="Q22" s="190"/>
      <c r="R22" s="188"/>
      <c r="T22" s="190"/>
      <c r="U22" s="188"/>
    </row>
    <row r="23" spans="1:37" x14ac:dyDescent="0.2">
      <c r="A23" s="52" t="b">
        <f t="shared" ca="1" si="0"/>
        <v>0</v>
      </c>
      <c r="B23" s="48">
        <v>16</v>
      </c>
      <c r="C23" s="49">
        <f t="shared" ca="1" si="1"/>
        <v>0</v>
      </c>
      <c r="D23" s="49">
        <f t="array" aca="1" ref="D23:F23" ca="1">OFFSET($A$31,0,$B23*4-2,1,3)</f>
        <v>0</v>
      </c>
      <c r="E23" s="49">
        <f ca="1"/>
        <v>0</v>
      </c>
      <c r="F23" s="49">
        <f ca="1"/>
        <v>0</v>
      </c>
      <c r="G23" s="59" t="str">
        <f t="shared" ca="1" si="5"/>
        <v/>
      </c>
      <c r="H23" s="50" t="str">
        <f t="shared" ca="1" si="2"/>
        <v/>
      </c>
      <c r="I23" s="60" t="str">
        <f t="shared" ca="1" si="6"/>
        <v/>
      </c>
      <c r="J23" s="32" t="str">
        <f t="shared" ca="1" si="3"/>
        <v/>
      </c>
      <c r="L23" s="59" t="str">
        <f t="shared" ca="1" si="7"/>
        <v/>
      </c>
      <c r="M23" s="51" t="str">
        <f t="shared" ca="1" si="4"/>
        <v/>
      </c>
      <c r="Q23" s="190"/>
      <c r="R23" s="188"/>
      <c r="T23" s="190"/>
      <c r="U23" s="188"/>
    </row>
    <row r="24" spans="1:37" x14ac:dyDescent="0.2">
      <c r="A24" s="52" t="b">
        <f t="shared" ca="1" si="0"/>
        <v>0</v>
      </c>
      <c r="B24" s="48">
        <v>17</v>
      </c>
      <c r="C24" s="49">
        <f t="shared" ca="1" si="1"/>
        <v>0</v>
      </c>
      <c r="D24" s="49">
        <f t="array" aca="1" ref="D24:F24" ca="1">OFFSET($A$31,0,$B24*4-2,1,3)</f>
        <v>0</v>
      </c>
      <c r="E24" s="49">
        <f ca="1"/>
        <v>0</v>
      </c>
      <c r="F24" s="49">
        <f ca="1"/>
        <v>0</v>
      </c>
      <c r="G24" s="59" t="str">
        <f t="shared" ca="1" si="5"/>
        <v/>
      </c>
      <c r="H24" s="50" t="str">
        <f t="shared" ca="1" si="2"/>
        <v/>
      </c>
      <c r="I24" s="60" t="str">
        <f t="shared" ca="1" si="6"/>
        <v/>
      </c>
      <c r="J24" s="32" t="str">
        <f t="shared" ca="1" si="3"/>
        <v/>
      </c>
      <c r="L24" s="59" t="str">
        <f t="shared" ca="1" si="7"/>
        <v/>
      </c>
      <c r="M24" s="51" t="str">
        <f t="shared" ca="1" si="4"/>
        <v/>
      </c>
      <c r="Q24" s="190"/>
      <c r="T24" s="190"/>
    </row>
    <row r="25" spans="1:37" x14ac:dyDescent="0.2">
      <c r="A25" s="52" t="b">
        <f t="shared" ca="1" si="0"/>
        <v>0</v>
      </c>
      <c r="B25" s="48">
        <v>18</v>
      </c>
      <c r="C25" s="49">
        <f t="shared" ca="1" si="1"/>
        <v>0</v>
      </c>
      <c r="D25" s="49">
        <f t="array" aca="1" ref="D25:F25" ca="1">OFFSET($A$31,0,$B25*4-2,1,3)</f>
        <v>0</v>
      </c>
      <c r="E25" s="49">
        <f ca="1"/>
        <v>0</v>
      </c>
      <c r="F25" s="49">
        <f ca="1"/>
        <v>0</v>
      </c>
      <c r="G25" s="59" t="str">
        <f t="shared" ca="1" si="5"/>
        <v/>
      </c>
      <c r="H25" s="50" t="str">
        <f t="shared" ca="1" si="2"/>
        <v/>
      </c>
      <c r="I25" s="60" t="str">
        <f t="shared" ca="1" si="6"/>
        <v/>
      </c>
      <c r="J25" s="32" t="str">
        <f t="shared" ca="1" si="3"/>
        <v/>
      </c>
      <c r="L25" s="59" t="str">
        <f t="shared" ca="1" si="7"/>
        <v/>
      </c>
      <c r="M25" s="51" t="str">
        <f t="shared" ca="1" si="4"/>
        <v/>
      </c>
      <c r="Q25" s="190"/>
      <c r="T25" s="190"/>
    </row>
    <row r="26" spans="1:37" x14ac:dyDescent="0.2">
      <c r="A26" s="52" t="b">
        <f t="shared" ca="1" si="0"/>
        <v>0</v>
      </c>
      <c r="B26" s="48">
        <v>19</v>
      </c>
      <c r="C26" s="49">
        <f t="shared" ca="1" si="1"/>
        <v>0</v>
      </c>
      <c r="D26" s="49">
        <f t="array" aca="1" ref="D26:F26" ca="1">OFFSET($A$31,0,$B26*4-2,1,3)</f>
        <v>0</v>
      </c>
      <c r="E26" s="49">
        <f ca="1"/>
        <v>0</v>
      </c>
      <c r="F26" s="49">
        <f ca="1"/>
        <v>0</v>
      </c>
      <c r="G26" s="59" t="str">
        <f t="shared" ca="1" si="5"/>
        <v/>
      </c>
      <c r="H26" s="50" t="str">
        <f t="shared" ca="1" si="2"/>
        <v/>
      </c>
      <c r="I26" s="60" t="str">
        <f t="shared" ca="1" si="6"/>
        <v/>
      </c>
      <c r="J26" s="32" t="str">
        <f t="shared" ca="1" si="3"/>
        <v/>
      </c>
      <c r="L26" s="59" t="str">
        <f t="shared" ca="1" si="7"/>
        <v/>
      </c>
      <c r="M26" s="51" t="str">
        <f t="shared" ca="1" si="4"/>
        <v/>
      </c>
      <c r="Q26" s="190"/>
      <c r="T26" s="190"/>
    </row>
    <row r="27" spans="1:37" x14ac:dyDescent="0.2">
      <c r="A27" s="52" t="b">
        <f t="shared" ca="1" si="0"/>
        <v>0</v>
      </c>
      <c r="B27" s="48">
        <v>20</v>
      </c>
      <c r="C27" s="49">
        <f t="shared" ca="1" si="1"/>
        <v>0</v>
      </c>
      <c r="D27" s="49">
        <f t="array" aca="1" ref="D27:F27" ca="1">OFFSET($A$31,0,$B27*4-2,1,3)</f>
        <v>0</v>
      </c>
      <c r="E27" s="49">
        <f ca="1"/>
        <v>0</v>
      </c>
      <c r="F27" s="49">
        <f ca="1"/>
        <v>0</v>
      </c>
      <c r="G27" s="59" t="str">
        <f t="shared" ca="1" si="5"/>
        <v/>
      </c>
      <c r="H27" s="50" t="str">
        <f t="shared" ca="1" si="2"/>
        <v/>
      </c>
      <c r="I27" s="60" t="str">
        <f t="shared" ca="1" si="6"/>
        <v/>
      </c>
      <c r="J27" s="32" t="str">
        <f t="shared" ca="1" si="3"/>
        <v/>
      </c>
      <c r="L27" s="59" t="str">
        <f t="shared" ca="1" si="7"/>
        <v/>
      </c>
      <c r="M27" s="51" t="str">
        <f t="shared" ca="1" si="4"/>
        <v/>
      </c>
      <c r="Q27" s="190"/>
      <c r="T27" s="190"/>
    </row>
    <row r="28" spans="1:37" x14ac:dyDescent="0.2">
      <c r="A28" s="52" t="b">
        <v>1</v>
      </c>
    </row>
    <row r="29" spans="1:37" x14ac:dyDescent="0.2">
      <c r="A29" s="52" t="b">
        <v>1</v>
      </c>
      <c r="B29" s="67" t="s">
        <v>356</v>
      </c>
    </row>
    <row r="30" spans="1:37" x14ac:dyDescent="0.2">
      <c r="A30" s="52" t="b">
        <v>1</v>
      </c>
      <c r="B30" s="34">
        <f ca="1">MAX(OFFSET($C$31,0,0,1,100))</f>
        <v>10</v>
      </c>
      <c r="C30" s="29" t="s">
        <v>38</v>
      </c>
      <c r="D30" s="34">
        <v>1</v>
      </c>
      <c r="G30" s="29" t="s">
        <v>39</v>
      </c>
      <c r="H30" s="34">
        <v>2</v>
      </c>
      <c r="K30" s="29" t="s">
        <v>41</v>
      </c>
      <c r="L30" s="34">
        <v>3</v>
      </c>
      <c r="O30" s="29" t="s">
        <v>43</v>
      </c>
      <c r="P30" s="34">
        <v>4</v>
      </c>
      <c r="S30" s="29" t="s">
        <v>357</v>
      </c>
      <c r="T30" s="34">
        <v>5</v>
      </c>
      <c r="W30" s="29" t="s">
        <v>46</v>
      </c>
      <c r="X30" s="34">
        <v>6</v>
      </c>
      <c r="AA30" s="29" t="s">
        <v>48</v>
      </c>
      <c r="AB30" s="34">
        <v>7</v>
      </c>
      <c r="AE30" s="29" t="s">
        <v>358</v>
      </c>
      <c r="AF30" s="34">
        <v>8</v>
      </c>
      <c r="AI30" s="29" t="s">
        <v>91</v>
      </c>
      <c r="AJ30" s="34">
        <v>9</v>
      </c>
    </row>
    <row r="31" spans="1:37" s="53" customFormat="1" x14ac:dyDescent="0.2">
      <c r="A31" s="52" t="b">
        <v>1</v>
      </c>
      <c r="B31" s="34">
        <f>ROW()</f>
        <v>31</v>
      </c>
      <c r="C31" s="53" t="s">
        <v>359</v>
      </c>
      <c r="D31" s="77" t="s">
        <v>360</v>
      </c>
      <c r="E31" s="34">
        <f>101-COUNTBLANK(C35:C134)</f>
        <v>7</v>
      </c>
      <c r="G31" s="53" t="s">
        <v>69</v>
      </c>
      <c r="H31" s="77" t="s">
        <v>59</v>
      </c>
      <c r="I31" s="34">
        <f>51-COUNTBLANK(G35:G84)</f>
        <v>5</v>
      </c>
      <c r="K31" s="53" t="s">
        <v>361</v>
      </c>
      <c r="L31" s="77" t="s">
        <v>42</v>
      </c>
      <c r="M31" s="34">
        <f>51-COUNTBLANK(K35:K84)</f>
        <v>5</v>
      </c>
      <c r="O31" s="53" t="s">
        <v>362</v>
      </c>
      <c r="P31" s="77" t="s">
        <v>44</v>
      </c>
      <c r="Q31" s="34">
        <f>51-COUNTBLANK(O35:O84)</f>
        <v>10</v>
      </c>
      <c r="S31" s="53" t="s">
        <v>363</v>
      </c>
      <c r="T31" s="77" t="s">
        <v>45</v>
      </c>
      <c r="U31" s="34">
        <f>51-COUNTBLANK(S35:S84)</f>
        <v>5</v>
      </c>
      <c r="W31" s="53" t="s">
        <v>360</v>
      </c>
      <c r="X31" s="77" t="s">
        <v>47</v>
      </c>
      <c r="Y31" s="34">
        <f>51-COUNTBLANK(W35:W84)</f>
        <v>7</v>
      </c>
      <c r="AA31" s="53" t="s">
        <v>364</v>
      </c>
      <c r="AB31" s="77" t="s">
        <v>49</v>
      </c>
      <c r="AC31" s="34">
        <f>51-COUNTBLANK(AA35:AA84)</f>
        <v>7</v>
      </c>
      <c r="AE31" s="53" t="s">
        <v>365</v>
      </c>
      <c r="AF31" s="77" t="s">
        <v>366</v>
      </c>
      <c r="AG31" s="34">
        <f>51-COUNTBLANK(AE35:AE84)</f>
        <v>3</v>
      </c>
      <c r="AI31" s="53" t="s">
        <v>379</v>
      </c>
      <c r="AJ31" s="77" t="s">
        <v>24</v>
      </c>
      <c r="AK31" s="34">
        <f>51-COUNTBLANK(AI35:AI84)</f>
        <v>5</v>
      </c>
    </row>
    <row r="32" spans="1:37" x14ac:dyDescent="0.2">
      <c r="A32" s="52" t="b">
        <v>1</v>
      </c>
      <c r="C32" s="54"/>
      <c r="D32" s="54"/>
      <c r="E32" s="54"/>
      <c r="G32" s="54"/>
      <c r="H32" s="54"/>
      <c r="I32" s="54"/>
      <c r="K32" s="54"/>
      <c r="L32" s="54"/>
      <c r="M32" s="54"/>
      <c r="O32" s="54"/>
      <c r="P32" s="54"/>
      <c r="Q32" s="54"/>
      <c r="S32" s="54"/>
      <c r="T32" s="54"/>
      <c r="U32" s="54"/>
      <c r="W32" s="54"/>
      <c r="X32" s="54"/>
      <c r="Y32" s="54"/>
      <c r="AA32" s="54"/>
      <c r="AB32" s="54"/>
      <c r="AC32" s="54"/>
      <c r="AE32" s="54"/>
      <c r="AF32" s="54"/>
      <c r="AG32" s="54"/>
      <c r="AI32" s="54"/>
      <c r="AJ32" s="54"/>
      <c r="AK32" s="54"/>
    </row>
    <row r="33" spans="1:37" s="55" customFormat="1" x14ac:dyDescent="0.2">
      <c r="A33" s="52" t="b">
        <v>1</v>
      </c>
      <c r="C33" s="30" t="s">
        <v>50</v>
      </c>
      <c r="D33" s="30" t="str">
        <f>C34</f>
        <v>kg</v>
      </c>
      <c r="E33" s="30" t="s">
        <v>51</v>
      </c>
      <c r="G33" s="30" t="str">
        <f>$C33</f>
        <v>Unit</v>
      </c>
      <c r="H33" s="30" t="str">
        <f>G34</f>
        <v>km</v>
      </c>
      <c r="I33" s="30" t="str">
        <f>$E33</f>
        <v>Factor</v>
      </c>
      <c r="K33" s="30" t="str">
        <f>$C33</f>
        <v>Unit</v>
      </c>
      <c r="L33" s="30" t="str">
        <f>K34</f>
        <v>l</v>
      </c>
      <c r="M33" s="30" t="str">
        <f>$E33</f>
        <v>Factor</v>
      </c>
      <c r="O33" s="30" t="str">
        <f>$C33</f>
        <v>Unit</v>
      </c>
      <c r="P33" s="30" t="str">
        <f>O34</f>
        <v>MJ</v>
      </c>
      <c r="Q33" s="30" t="str">
        <f>$E33</f>
        <v>Factor</v>
      </c>
      <c r="S33" s="30" t="str">
        <f>$C33</f>
        <v>Unit</v>
      </c>
      <c r="T33" s="30" t="str">
        <f>S34</f>
        <v>te.km</v>
      </c>
      <c r="U33" s="30" t="str">
        <f>$E33</f>
        <v>Factor</v>
      </c>
      <c r="W33" s="30" t="str">
        <f>$C33</f>
        <v>Unit</v>
      </c>
      <c r="X33" s="30" t="str">
        <f>W34</f>
        <v>yr</v>
      </c>
      <c r="Y33" s="30" t="str">
        <f>$E33</f>
        <v>Factor</v>
      </c>
      <c r="AA33" s="30" t="str">
        <f>$C33</f>
        <v>Unit</v>
      </c>
      <c r="AB33" s="30" t="str">
        <f>AA34</f>
        <v>m^2</v>
      </c>
      <c r="AC33" s="30" t="str">
        <f>$E33</f>
        <v>Factor</v>
      </c>
      <c r="AE33" s="30" t="str">
        <f>$C33</f>
        <v>Unit</v>
      </c>
      <c r="AF33" s="30" t="str">
        <f>AE34</f>
        <v>kph</v>
      </c>
      <c r="AG33" s="30" t="str">
        <f>$E33</f>
        <v>Factor</v>
      </c>
      <c r="AI33" s="30" t="str">
        <f>$C33</f>
        <v>Unit</v>
      </c>
      <c r="AJ33" s="30" t="str">
        <f>AI34</f>
        <v>none</v>
      </c>
      <c r="AK33" s="30" t="str">
        <f>$E33</f>
        <v>Factor</v>
      </c>
    </row>
    <row r="34" spans="1:37" x14ac:dyDescent="0.2">
      <c r="A34" s="52" t="b">
        <v>1</v>
      </c>
      <c r="C34" s="56" t="s">
        <v>52</v>
      </c>
      <c r="D34" s="56">
        <v>1</v>
      </c>
      <c r="E34" s="57">
        <f t="shared" ref="E34:E65" ca="1" si="8">IF(C34="","",D34/VLOOKUP(u_Weight,a_Weight,2,FALSE))</f>
        <v>1E-3</v>
      </c>
      <c r="G34" s="56" t="s">
        <v>40</v>
      </c>
      <c r="H34" s="56">
        <v>1</v>
      </c>
      <c r="I34" s="57">
        <f t="shared" ref="I34:I65" ca="1" si="9">IF(G34="","",H34/VLOOKUP(u_Distance,a_Distance,2,FALSE))</f>
        <v>0.625</v>
      </c>
      <c r="K34" s="56" t="s">
        <v>42</v>
      </c>
      <c r="L34" s="56">
        <v>1</v>
      </c>
      <c r="M34" s="57">
        <f t="shared" ref="M34:M65" ca="1" si="10">IF(K34="","",L34/VLOOKUP(u_Volume,a_Volume,2,FALSE))</f>
        <v>1</v>
      </c>
      <c r="O34" s="56" t="s">
        <v>44</v>
      </c>
      <c r="P34" s="56">
        <v>1</v>
      </c>
      <c r="Q34" s="57">
        <f t="shared" ref="Q34:Q65" ca="1" si="11">IF(O34="","",P34/VLOOKUP(u_Energy,a_Energy,2,FALSE))</f>
        <v>1</v>
      </c>
      <c r="S34" s="56" t="s">
        <v>45</v>
      </c>
      <c r="T34" s="56">
        <v>1</v>
      </c>
      <c r="U34" s="57">
        <f t="shared" ref="U34:U65" ca="1" si="12">IF(S34="","",T34/VLOOKUP(u_Freight,a_Freight,2,FALSE))</f>
        <v>1</v>
      </c>
      <c r="W34" s="56" t="s">
        <v>47</v>
      </c>
      <c r="X34" s="56">
        <v>1</v>
      </c>
      <c r="Y34" s="57">
        <f t="shared" ref="Y34:Y65" ca="1" si="13">IF(W34="","",X34/VLOOKUP(u_Time,a_Time,2,FALSE))</f>
        <v>1</v>
      </c>
      <c r="AA34" s="56" t="s">
        <v>49</v>
      </c>
      <c r="AB34" s="56">
        <v>1</v>
      </c>
      <c r="AC34" s="57">
        <f t="shared" ref="AC34:AC65" ca="1" si="14">IF(AA34="","",AB34/VLOOKUP(u_Area,a_Area,2,FALSE))</f>
        <v>1</v>
      </c>
      <c r="AE34" s="56" t="s">
        <v>366</v>
      </c>
      <c r="AF34" s="56">
        <v>1</v>
      </c>
      <c r="AG34" s="57">
        <f ca="1">IF(AE34="","",AF34/VLOOKUP(u_Speed,a_Speed,2,FALSE))</f>
        <v>1</v>
      </c>
      <c r="AI34" s="56" t="s">
        <v>24</v>
      </c>
      <c r="AJ34" s="56">
        <v>1</v>
      </c>
      <c r="AK34" s="57">
        <f ca="1">IF(AI34="","",AJ34/VLOOKUP(u_Speed,a_Speed,2,FALSE))</f>
        <v>1</v>
      </c>
    </row>
    <row r="35" spans="1:37" x14ac:dyDescent="0.2">
      <c r="A35" s="52" t="b">
        <f ca="1">(ROW()&lt;$B$31+$B$30+4)</f>
        <v>1</v>
      </c>
      <c r="C35" s="58" t="s">
        <v>360</v>
      </c>
      <c r="D35" s="58">
        <v>1000</v>
      </c>
      <c r="E35" s="54">
        <f t="shared" ca="1" si="8"/>
        <v>1</v>
      </c>
      <c r="G35" s="58" t="s">
        <v>53</v>
      </c>
      <c r="H35" s="58">
        <v>1E-3</v>
      </c>
      <c r="I35" s="54">
        <f t="shared" ca="1" si="9"/>
        <v>6.2500000000000001E-4</v>
      </c>
      <c r="K35" s="58" t="s">
        <v>54</v>
      </c>
      <c r="L35" s="58">
        <v>1</v>
      </c>
      <c r="M35" s="54">
        <f t="shared" ca="1" si="10"/>
        <v>1</v>
      </c>
      <c r="O35" s="58" t="s">
        <v>55</v>
      </c>
      <c r="P35" s="58">
        <v>1E-3</v>
      </c>
      <c r="Q35" s="54">
        <f t="shared" ca="1" si="11"/>
        <v>1E-3</v>
      </c>
      <c r="S35" s="58" t="s">
        <v>56</v>
      </c>
      <c r="T35" s="58">
        <v>1E-3</v>
      </c>
      <c r="U35" s="54">
        <f t="shared" ca="1" si="12"/>
        <v>1E-3</v>
      </c>
      <c r="W35" s="58" t="s">
        <v>57</v>
      </c>
      <c r="X35" s="58">
        <v>8.3333333333333329E-2</v>
      </c>
      <c r="Y35" s="54">
        <f t="shared" ca="1" si="13"/>
        <v>8.3333333333333329E-2</v>
      </c>
      <c r="AA35" s="58" t="s">
        <v>58</v>
      </c>
      <c r="AB35" s="58">
        <v>0.83612735999999999</v>
      </c>
      <c r="AC35" s="54">
        <f t="shared" ca="1" si="14"/>
        <v>0.83612735999999999</v>
      </c>
      <c r="AE35" s="58" t="s">
        <v>381</v>
      </c>
      <c r="AF35" s="58">
        <f>AF34/3600</f>
        <v>2.7777777777777778E-4</v>
      </c>
      <c r="AG35" s="54">
        <f t="shared" ref="AG35:AG66" ca="1" si="15">IF(AE35="","",AF35/VLOOKUP(u_Area,a_Area,2,FALSE))</f>
        <v>2.7777777777777778E-4</v>
      </c>
      <c r="AI35" s="58" t="s">
        <v>375</v>
      </c>
      <c r="AJ35" s="58">
        <v>1</v>
      </c>
      <c r="AK35" s="54">
        <f t="shared" ref="AK35:AK98" ca="1" si="16">IF(AI35="","",AJ35/VLOOKUP(u_Area,a_Area,2,FALSE))</f>
        <v>1</v>
      </c>
    </row>
    <row r="36" spans="1:37" x14ac:dyDescent="0.2">
      <c r="A36" s="52" t="b">
        <f t="shared" ref="A36:A99" ca="1" si="17">(ROW()&lt;$B$31+$B$30+4)</f>
        <v>1</v>
      </c>
      <c r="C36" s="58" t="s">
        <v>367</v>
      </c>
      <c r="D36" s="58">
        <v>1000000</v>
      </c>
      <c r="E36" s="54">
        <f t="shared" ca="1" si="8"/>
        <v>1000</v>
      </c>
      <c r="G36" s="58" t="s">
        <v>59</v>
      </c>
      <c r="H36" s="58">
        <v>1.6</v>
      </c>
      <c r="I36" s="54">
        <f t="shared" ca="1" si="9"/>
        <v>1</v>
      </c>
      <c r="K36" s="58" t="s">
        <v>60</v>
      </c>
      <c r="L36" s="58">
        <v>1E-3</v>
      </c>
      <c r="M36" s="54">
        <f t="shared" ca="1" si="10"/>
        <v>1E-3</v>
      </c>
      <c r="O36" s="58" t="s">
        <v>61</v>
      </c>
      <c r="P36" s="58">
        <f>P35*P35</f>
        <v>9.9999999999999995E-7</v>
      </c>
      <c r="Q36" s="54">
        <f t="shared" ca="1" si="11"/>
        <v>9.9999999999999995E-7</v>
      </c>
      <c r="S36" s="58" t="s">
        <v>62</v>
      </c>
      <c r="T36" s="58">
        <v>1E-3</v>
      </c>
      <c r="U36" s="54">
        <f t="shared" ca="1" si="12"/>
        <v>1E-3</v>
      </c>
      <c r="W36" s="58" t="s">
        <v>63</v>
      </c>
      <c r="X36" s="58">
        <v>1.9164955509924708E-2</v>
      </c>
      <c r="Y36" s="54">
        <f t="shared" ca="1" si="13"/>
        <v>1.9164955509924708E-2</v>
      </c>
      <c r="AA36" s="58" t="s">
        <v>64</v>
      </c>
      <c r="AB36" s="58">
        <v>9.2903040000000006E-2</v>
      </c>
      <c r="AC36" s="54">
        <f t="shared" ca="1" si="14"/>
        <v>9.2903040000000006E-2</v>
      </c>
      <c r="AE36" s="58" t="s">
        <v>380</v>
      </c>
      <c r="AF36" s="58">
        <f>AF35*1000</f>
        <v>0.27777777777777779</v>
      </c>
      <c r="AG36" s="54">
        <f t="shared" ca="1" si="15"/>
        <v>0.27777777777777779</v>
      </c>
      <c r="AI36" s="58" t="s">
        <v>376</v>
      </c>
      <c r="AJ36" s="58">
        <v>2</v>
      </c>
      <c r="AK36" s="54">
        <f t="shared" ca="1" si="16"/>
        <v>2</v>
      </c>
    </row>
    <row r="37" spans="1:37" x14ac:dyDescent="0.2">
      <c r="A37" s="52" t="b">
        <f t="shared" ca="1" si="17"/>
        <v>1</v>
      </c>
      <c r="C37" s="58" t="s">
        <v>368</v>
      </c>
      <c r="D37" s="58">
        <v>1000000000</v>
      </c>
      <c r="E37" s="54">
        <f t="shared" ca="1" si="8"/>
        <v>1000000</v>
      </c>
      <c r="G37" s="58" t="s">
        <v>65</v>
      </c>
      <c r="H37" s="58">
        <v>1.0000000000000001E-5</v>
      </c>
      <c r="I37" s="54">
        <f t="shared" ca="1" si="9"/>
        <v>6.2500000000000003E-6</v>
      </c>
      <c r="K37" s="58" t="s">
        <v>66</v>
      </c>
      <c r="L37" s="58">
        <v>1000</v>
      </c>
      <c r="M37" s="54">
        <f t="shared" ca="1" si="10"/>
        <v>1000</v>
      </c>
      <c r="O37" s="58" t="s">
        <v>67</v>
      </c>
      <c r="P37" s="58">
        <v>1000</v>
      </c>
      <c r="Q37" s="54">
        <f t="shared" ca="1" si="11"/>
        <v>1000</v>
      </c>
      <c r="S37" s="58" t="s">
        <v>68</v>
      </c>
      <c r="T37" s="58">
        <v>9.9999999999999995E-7</v>
      </c>
      <c r="U37" s="54">
        <f t="shared" ca="1" si="12"/>
        <v>9.9999999999999995E-7</v>
      </c>
      <c r="W37" s="58" t="s">
        <v>69</v>
      </c>
      <c r="X37" s="58">
        <v>2.7378507871321013E-3</v>
      </c>
      <c r="Y37" s="54">
        <f t="shared" ca="1" si="13"/>
        <v>2.7378507871321013E-3</v>
      </c>
      <c r="AA37" s="58" t="s">
        <v>70</v>
      </c>
      <c r="AB37" s="58">
        <v>4046.8564224000002</v>
      </c>
      <c r="AC37" s="54">
        <f t="shared" ca="1" si="14"/>
        <v>4046.8564224000002</v>
      </c>
      <c r="AE37" s="58"/>
      <c r="AF37" s="58"/>
      <c r="AG37" s="54" t="str">
        <f t="shared" si="15"/>
        <v/>
      </c>
      <c r="AI37" s="58" t="s">
        <v>377</v>
      </c>
      <c r="AJ37" s="58">
        <v>12</v>
      </c>
      <c r="AK37" s="54">
        <f t="shared" ca="1" si="16"/>
        <v>12</v>
      </c>
    </row>
    <row r="38" spans="1:37" x14ac:dyDescent="0.2">
      <c r="A38" s="52" t="b">
        <f t="shared" ca="1" si="17"/>
        <v>1</v>
      </c>
      <c r="C38" s="58" t="s">
        <v>71</v>
      </c>
      <c r="D38" s="58">
        <v>1E-3</v>
      </c>
      <c r="E38" s="54">
        <f t="shared" ca="1" si="8"/>
        <v>9.9999999999999995E-7</v>
      </c>
      <c r="G38" s="58" t="s">
        <v>72</v>
      </c>
      <c r="H38" s="58">
        <v>9.9999999999999995E-7</v>
      </c>
      <c r="I38" s="54">
        <f t="shared" ca="1" si="9"/>
        <v>6.2499999999999995E-7</v>
      </c>
      <c r="K38" s="58" t="s">
        <v>73</v>
      </c>
      <c r="L38" s="58">
        <v>1000</v>
      </c>
      <c r="M38" s="54">
        <f t="shared" ca="1" si="10"/>
        <v>1000</v>
      </c>
      <c r="O38" s="58" t="s">
        <v>74</v>
      </c>
      <c r="P38" s="58">
        <v>1000000</v>
      </c>
      <c r="Q38" s="54">
        <f t="shared" ca="1" si="11"/>
        <v>1000000</v>
      </c>
      <c r="S38" s="58" t="s">
        <v>75</v>
      </c>
      <c r="T38" s="58">
        <v>1000</v>
      </c>
      <c r="U38" s="54">
        <f t="shared" ca="1" si="12"/>
        <v>1000</v>
      </c>
      <c r="W38" s="58" t="s">
        <v>76</v>
      </c>
      <c r="X38" s="58">
        <v>1.1407711613050422E-4</v>
      </c>
      <c r="Y38" s="54">
        <f t="shared" ca="1" si="13"/>
        <v>1.1407711613050422E-4</v>
      </c>
      <c r="AA38" s="58" t="s">
        <v>77</v>
      </c>
      <c r="AB38" s="58">
        <v>10000</v>
      </c>
      <c r="AC38" s="54">
        <f t="shared" ca="1" si="14"/>
        <v>10000</v>
      </c>
      <c r="AE38" s="58"/>
      <c r="AF38" s="58"/>
      <c r="AG38" s="54" t="str">
        <f t="shared" si="15"/>
        <v/>
      </c>
      <c r="AI38" s="58" t="s">
        <v>378</v>
      </c>
      <c r="AJ38" s="58">
        <v>20</v>
      </c>
      <c r="AK38" s="54">
        <f t="shared" ca="1" si="16"/>
        <v>20</v>
      </c>
    </row>
    <row r="39" spans="1:37" x14ac:dyDescent="0.2">
      <c r="A39" s="52" t="b">
        <f t="shared" ca="1" si="17"/>
        <v>1</v>
      </c>
      <c r="C39" s="58" t="s">
        <v>78</v>
      </c>
      <c r="D39" s="58">
        <v>2.2000000000000002</v>
      </c>
      <c r="E39" s="54">
        <f t="shared" ca="1" si="8"/>
        <v>2.2000000000000001E-3</v>
      </c>
      <c r="G39" s="58"/>
      <c r="H39" s="58"/>
      <c r="I39" s="54" t="str">
        <f t="shared" si="9"/>
        <v/>
      </c>
      <c r="K39" s="58"/>
      <c r="L39" s="58"/>
      <c r="M39" s="54" t="str">
        <f t="shared" si="10"/>
        <v/>
      </c>
      <c r="O39" s="58" t="s">
        <v>79</v>
      </c>
      <c r="P39" s="58">
        <v>3.6</v>
      </c>
      <c r="Q39" s="54">
        <f t="shared" ca="1" si="11"/>
        <v>3.6</v>
      </c>
      <c r="S39" s="58"/>
      <c r="T39" s="58"/>
      <c r="U39" s="54" t="str">
        <f t="shared" si="12"/>
        <v/>
      </c>
      <c r="W39" s="58" t="s">
        <v>80</v>
      </c>
      <c r="X39" s="58">
        <v>1.9012852688417369E-6</v>
      </c>
      <c r="Y39" s="54">
        <f t="shared" ca="1" si="13"/>
        <v>1.9012852688417369E-6</v>
      </c>
      <c r="AA39" s="58" t="s">
        <v>81</v>
      </c>
      <c r="AB39" s="58">
        <f>1000000</f>
        <v>1000000</v>
      </c>
      <c r="AC39" s="54">
        <f t="shared" ca="1" si="14"/>
        <v>1000000</v>
      </c>
      <c r="AE39" s="58"/>
      <c r="AF39" s="58"/>
      <c r="AG39" s="54" t="str">
        <f t="shared" si="15"/>
        <v/>
      </c>
      <c r="AI39" s="58"/>
      <c r="AJ39" s="58"/>
      <c r="AK39" s="54" t="str">
        <f t="shared" si="16"/>
        <v/>
      </c>
    </row>
    <row r="40" spans="1:37" x14ac:dyDescent="0.2">
      <c r="A40" s="52" t="b">
        <f t="shared" ca="1" si="17"/>
        <v>1</v>
      </c>
      <c r="C40" s="58" t="s">
        <v>369</v>
      </c>
      <c r="D40" s="58">
        <f>0.000001</f>
        <v>9.9999999999999995E-7</v>
      </c>
      <c r="E40" s="54">
        <f t="shared" ca="1" si="8"/>
        <v>9.9999999999999986E-10</v>
      </c>
      <c r="G40" s="58"/>
      <c r="H40" s="58"/>
      <c r="I40" s="54" t="str">
        <f t="shared" si="9"/>
        <v/>
      </c>
      <c r="K40" s="58"/>
      <c r="L40" s="58"/>
      <c r="M40" s="54" t="str">
        <f t="shared" si="10"/>
        <v/>
      </c>
      <c r="O40" s="58" t="s">
        <v>82</v>
      </c>
      <c r="P40" s="58">
        <f>P39*1000</f>
        <v>3600</v>
      </c>
      <c r="Q40" s="54">
        <f t="shared" ca="1" si="11"/>
        <v>3600</v>
      </c>
      <c r="S40" s="58"/>
      <c r="T40" s="58"/>
      <c r="U40" s="54" t="str">
        <f t="shared" si="12"/>
        <v/>
      </c>
      <c r="W40" s="58" t="s">
        <v>83</v>
      </c>
      <c r="X40" s="58">
        <v>3.1688087814028947E-8</v>
      </c>
      <c r="Y40" s="54">
        <f t="shared" ca="1" si="13"/>
        <v>3.1688087814028947E-8</v>
      </c>
      <c r="AA40" s="58" t="s">
        <v>84</v>
      </c>
      <c r="AB40" s="58">
        <v>2589988.1102999998</v>
      </c>
      <c r="AC40" s="54">
        <f t="shared" ca="1" si="14"/>
        <v>2589988.1102999998</v>
      </c>
      <c r="AE40" s="58"/>
      <c r="AF40" s="58"/>
      <c r="AG40" s="54" t="str">
        <f t="shared" si="15"/>
        <v/>
      </c>
      <c r="AI40" s="58"/>
      <c r="AJ40" s="58"/>
      <c r="AK40" s="54" t="str">
        <f t="shared" si="16"/>
        <v/>
      </c>
    </row>
    <row r="41" spans="1:37" x14ac:dyDescent="0.2">
      <c r="A41" s="52" t="b">
        <f t="shared" ca="1" si="17"/>
        <v>1</v>
      </c>
      <c r="C41" s="58"/>
      <c r="D41" s="58"/>
      <c r="E41" s="54" t="str">
        <f t="shared" si="8"/>
        <v/>
      </c>
      <c r="G41" s="58"/>
      <c r="H41" s="58"/>
      <c r="I41" s="54" t="str">
        <f t="shared" si="9"/>
        <v/>
      </c>
      <c r="K41" s="58"/>
      <c r="L41" s="58"/>
      <c r="M41" s="54" t="str">
        <f t="shared" si="10"/>
        <v/>
      </c>
      <c r="O41" s="58" t="s">
        <v>85</v>
      </c>
      <c r="P41" s="58">
        <f>1/1.05506/1000</f>
        <v>9.4781339449889106E-4</v>
      </c>
      <c r="Q41" s="54">
        <f t="shared" ca="1" si="11"/>
        <v>9.4781339449889106E-4</v>
      </c>
      <c r="S41" s="58"/>
      <c r="T41" s="58"/>
      <c r="U41" s="54" t="str">
        <f t="shared" si="12"/>
        <v/>
      </c>
      <c r="W41" s="58"/>
      <c r="X41" s="58"/>
      <c r="Y41" s="54" t="str">
        <f t="shared" si="13"/>
        <v/>
      </c>
      <c r="AA41" s="58"/>
      <c r="AB41" s="58"/>
      <c r="AC41" s="54" t="str">
        <f t="shared" si="14"/>
        <v/>
      </c>
      <c r="AE41" s="58"/>
      <c r="AF41" s="58"/>
      <c r="AG41" s="54" t="str">
        <f t="shared" si="15"/>
        <v/>
      </c>
      <c r="AI41" s="58"/>
      <c r="AJ41" s="58"/>
      <c r="AK41" s="54" t="str">
        <f t="shared" si="16"/>
        <v/>
      </c>
    </row>
    <row r="42" spans="1:37" x14ac:dyDescent="0.2">
      <c r="A42" s="52" t="b">
        <f t="shared" ca="1" si="17"/>
        <v>1</v>
      </c>
      <c r="C42" s="58"/>
      <c r="D42" s="58"/>
      <c r="E42" s="31" t="str">
        <f t="shared" si="8"/>
        <v/>
      </c>
      <c r="G42" s="58"/>
      <c r="H42" s="58"/>
      <c r="I42" s="31" t="str">
        <f t="shared" si="9"/>
        <v/>
      </c>
      <c r="K42" s="58"/>
      <c r="L42" s="58"/>
      <c r="M42" s="31" t="str">
        <f t="shared" si="10"/>
        <v/>
      </c>
      <c r="O42" s="58" t="s">
        <v>535</v>
      </c>
      <c r="P42" s="58">
        <f>P40*1000</f>
        <v>3600000</v>
      </c>
      <c r="Q42" s="31">
        <f t="shared" ca="1" si="11"/>
        <v>3600000</v>
      </c>
      <c r="S42" s="58"/>
      <c r="T42" s="58"/>
      <c r="U42" s="31" t="str">
        <f t="shared" si="12"/>
        <v/>
      </c>
      <c r="W42" s="58"/>
      <c r="X42" s="58"/>
      <c r="Y42" s="31" t="str">
        <f t="shared" si="13"/>
        <v/>
      </c>
      <c r="AA42" s="58"/>
      <c r="AB42" s="58"/>
      <c r="AC42" s="31" t="str">
        <f t="shared" si="14"/>
        <v/>
      </c>
      <c r="AE42" s="58"/>
      <c r="AF42" s="58"/>
      <c r="AG42" s="31" t="str">
        <f t="shared" si="15"/>
        <v/>
      </c>
      <c r="AI42" s="58"/>
      <c r="AJ42" s="58"/>
      <c r="AK42" s="31" t="str">
        <f t="shared" si="16"/>
        <v/>
      </c>
    </row>
    <row r="43" spans="1:37" x14ac:dyDescent="0.2">
      <c r="A43" s="52" t="b">
        <f t="shared" ca="1" si="17"/>
        <v>1</v>
      </c>
      <c r="C43" s="58"/>
      <c r="D43" s="58"/>
      <c r="E43" s="31" t="str">
        <f t="shared" si="8"/>
        <v/>
      </c>
      <c r="G43" s="58"/>
      <c r="H43" s="58"/>
      <c r="I43" s="31" t="str">
        <f t="shared" si="9"/>
        <v/>
      </c>
      <c r="K43" s="58"/>
      <c r="L43" s="58"/>
      <c r="M43" s="31" t="str">
        <f t="shared" si="10"/>
        <v/>
      </c>
      <c r="O43" s="58" t="s">
        <v>536</v>
      </c>
      <c r="P43" s="58">
        <f>P42*1000</f>
        <v>3600000000</v>
      </c>
      <c r="Q43" s="66">
        <f ca="1">IF(O43="","",P43/VLOOKUP(u_Energy,a_Energy,2,FALSE))</f>
        <v>3600000000</v>
      </c>
      <c r="S43" s="58"/>
      <c r="T43" s="58"/>
      <c r="U43" s="31" t="str">
        <f t="shared" si="12"/>
        <v/>
      </c>
      <c r="W43" s="58"/>
      <c r="X43" s="58"/>
      <c r="Y43" s="31" t="str">
        <f t="shared" si="13"/>
        <v/>
      </c>
      <c r="AA43" s="58"/>
      <c r="AB43" s="58"/>
      <c r="AC43" s="31" t="str">
        <f t="shared" si="14"/>
        <v/>
      </c>
      <c r="AE43" s="58"/>
      <c r="AF43" s="58"/>
      <c r="AG43" s="31" t="str">
        <f t="shared" si="15"/>
        <v/>
      </c>
      <c r="AI43" s="58"/>
      <c r="AJ43" s="58"/>
      <c r="AK43" s="31" t="str">
        <f t="shared" si="16"/>
        <v/>
      </c>
    </row>
    <row r="44" spans="1:37" x14ac:dyDescent="0.2">
      <c r="A44" s="52" t="b">
        <f t="shared" ca="1" si="17"/>
        <v>1</v>
      </c>
      <c r="C44" s="58"/>
      <c r="D44" s="58"/>
      <c r="E44" s="31" t="str">
        <f t="shared" si="8"/>
        <v/>
      </c>
      <c r="G44" s="58"/>
      <c r="H44" s="58"/>
      <c r="I44" s="31" t="str">
        <f t="shared" si="9"/>
        <v/>
      </c>
      <c r="K44" s="58"/>
      <c r="L44" s="58"/>
      <c r="M44" s="31" t="str">
        <f t="shared" si="10"/>
        <v/>
      </c>
      <c r="O44" s="58"/>
      <c r="P44" s="58"/>
      <c r="Q44" s="31" t="str">
        <f t="shared" si="11"/>
        <v/>
      </c>
      <c r="S44" s="58"/>
      <c r="T44" s="58"/>
      <c r="U44" s="31" t="str">
        <f t="shared" si="12"/>
        <v/>
      </c>
      <c r="W44" s="58"/>
      <c r="X44" s="58"/>
      <c r="Y44" s="31" t="str">
        <f t="shared" si="13"/>
        <v/>
      </c>
      <c r="AA44" s="58"/>
      <c r="AB44" s="58"/>
      <c r="AC44" s="31" t="str">
        <f t="shared" si="14"/>
        <v/>
      </c>
      <c r="AE44" s="58"/>
      <c r="AF44" s="58"/>
      <c r="AG44" s="31" t="str">
        <f t="shared" si="15"/>
        <v/>
      </c>
      <c r="AI44" s="58"/>
      <c r="AJ44" s="58"/>
      <c r="AK44" s="31" t="str">
        <f t="shared" si="16"/>
        <v/>
      </c>
    </row>
    <row r="45" spans="1:37" x14ac:dyDescent="0.2">
      <c r="A45" s="52" t="b">
        <f t="shared" ca="1" si="17"/>
        <v>0</v>
      </c>
      <c r="C45" s="58"/>
      <c r="D45" s="58"/>
      <c r="E45" s="31" t="str">
        <f t="shared" si="8"/>
        <v/>
      </c>
      <c r="G45" s="58"/>
      <c r="H45" s="58"/>
      <c r="I45" s="31" t="str">
        <f t="shared" si="9"/>
        <v/>
      </c>
      <c r="K45" s="58"/>
      <c r="L45" s="58"/>
      <c r="M45" s="31" t="str">
        <f t="shared" si="10"/>
        <v/>
      </c>
      <c r="O45" s="58"/>
      <c r="P45" s="58"/>
      <c r="Q45" s="31" t="str">
        <f t="shared" si="11"/>
        <v/>
      </c>
      <c r="S45" s="58"/>
      <c r="T45" s="58"/>
      <c r="U45" s="31" t="str">
        <f t="shared" si="12"/>
        <v/>
      </c>
      <c r="W45" s="58"/>
      <c r="X45" s="58"/>
      <c r="Y45" s="31" t="str">
        <f t="shared" si="13"/>
        <v/>
      </c>
      <c r="AA45" s="58"/>
      <c r="AB45" s="58"/>
      <c r="AC45" s="31" t="str">
        <f t="shared" si="14"/>
        <v/>
      </c>
      <c r="AE45" s="58"/>
      <c r="AF45" s="58"/>
      <c r="AG45" s="31" t="str">
        <f t="shared" si="15"/>
        <v/>
      </c>
      <c r="AI45" s="58"/>
      <c r="AJ45" s="58"/>
      <c r="AK45" s="31" t="str">
        <f t="shared" si="16"/>
        <v/>
      </c>
    </row>
    <row r="46" spans="1:37" x14ac:dyDescent="0.2">
      <c r="A46" s="52" t="b">
        <f t="shared" ca="1" si="17"/>
        <v>0</v>
      </c>
      <c r="C46" s="58"/>
      <c r="D46" s="58"/>
      <c r="E46" s="31" t="str">
        <f t="shared" si="8"/>
        <v/>
      </c>
      <c r="G46" s="58"/>
      <c r="H46" s="58"/>
      <c r="I46" s="31" t="str">
        <f t="shared" si="9"/>
        <v/>
      </c>
      <c r="K46" s="58"/>
      <c r="L46" s="58"/>
      <c r="M46" s="31" t="str">
        <f t="shared" si="10"/>
        <v/>
      </c>
      <c r="O46" s="58"/>
      <c r="P46" s="58"/>
      <c r="Q46" s="31" t="str">
        <f t="shared" si="11"/>
        <v/>
      </c>
      <c r="S46" s="58"/>
      <c r="T46" s="58"/>
      <c r="U46" s="31" t="str">
        <f t="shared" si="12"/>
        <v/>
      </c>
      <c r="W46" s="58"/>
      <c r="X46" s="58"/>
      <c r="Y46" s="31" t="str">
        <f t="shared" si="13"/>
        <v/>
      </c>
      <c r="AA46" s="58"/>
      <c r="AB46" s="58"/>
      <c r="AC46" s="31" t="str">
        <f t="shared" si="14"/>
        <v/>
      </c>
      <c r="AE46" s="58"/>
      <c r="AF46" s="58"/>
      <c r="AG46" s="31" t="str">
        <f t="shared" si="15"/>
        <v/>
      </c>
      <c r="AI46" s="58"/>
      <c r="AJ46" s="58"/>
      <c r="AK46" s="31" t="str">
        <f t="shared" si="16"/>
        <v/>
      </c>
    </row>
    <row r="47" spans="1:37" x14ac:dyDescent="0.2">
      <c r="A47" s="52" t="b">
        <f t="shared" ca="1" si="17"/>
        <v>0</v>
      </c>
      <c r="C47" s="58"/>
      <c r="D47" s="58"/>
      <c r="E47" s="31" t="str">
        <f t="shared" si="8"/>
        <v/>
      </c>
      <c r="G47" s="58"/>
      <c r="H47" s="58"/>
      <c r="I47" s="31" t="str">
        <f t="shared" si="9"/>
        <v/>
      </c>
      <c r="K47" s="58"/>
      <c r="L47" s="58"/>
      <c r="M47" s="31" t="str">
        <f t="shared" si="10"/>
        <v/>
      </c>
      <c r="O47" s="58"/>
      <c r="P47" s="58"/>
      <c r="Q47" s="31" t="str">
        <f t="shared" si="11"/>
        <v/>
      </c>
      <c r="S47" s="58"/>
      <c r="T47" s="58"/>
      <c r="U47" s="31" t="str">
        <f t="shared" si="12"/>
        <v/>
      </c>
      <c r="W47" s="58"/>
      <c r="X47" s="58"/>
      <c r="Y47" s="31" t="str">
        <f t="shared" si="13"/>
        <v/>
      </c>
      <c r="AA47" s="58"/>
      <c r="AB47" s="58"/>
      <c r="AC47" s="31" t="str">
        <f t="shared" si="14"/>
        <v/>
      </c>
      <c r="AE47" s="58"/>
      <c r="AF47" s="58"/>
      <c r="AG47" s="31" t="str">
        <f t="shared" si="15"/>
        <v/>
      </c>
      <c r="AI47" s="58"/>
      <c r="AJ47" s="58"/>
      <c r="AK47" s="31" t="str">
        <f t="shared" si="16"/>
        <v/>
      </c>
    </row>
    <row r="48" spans="1:37" x14ac:dyDescent="0.2">
      <c r="A48" s="52" t="b">
        <f t="shared" ca="1" si="17"/>
        <v>0</v>
      </c>
      <c r="C48" s="58"/>
      <c r="D48" s="58"/>
      <c r="E48" s="31" t="str">
        <f t="shared" si="8"/>
        <v/>
      </c>
      <c r="G48" s="58"/>
      <c r="H48" s="58"/>
      <c r="I48" s="31" t="str">
        <f t="shared" si="9"/>
        <v/>
      </c>
      <c r="K48" s="58"/>
      <c r="L48" s="58"/>
      <c r="M48" s="31" t="str">
        <f t="shared" si="10"/>
        <v/>
      </c>
      <c r="O48" s="58"/>
      <c r="P48" s="58"/>
      <c r="Q48" s="31" t="str">
        <f t="shared" si="11"/>
        <v/>
      </c>
      <c r="S48" s="58"/>
      <c r="T48" s="58"/>
      <c r="U48" s="31" t="str">
        <f t="shared" si="12"/>
        <v/>
      </c>
      <c r="W48" s="58"/>
      <c r="X48" s="58"/>
      <c r="Y48" s="31" t="str">
        <f t="shared" si="13"/>
        <v/>
      </c>
      <c r="AA48" s="58"/>
      <c r="AB48" s="58"/>
      <c r="AC48" s="31" t="str">
        <f t="shared" si="14"/>
        <v/>
      </c>
      <c r="AE48" s="58"/>
      <c r="AF48" s="58"/>
      <c r="AG48" s="31" t="str">
        <f t="shared" si="15"/>
        <v/>
      </c>
      <c r="AI48" s="58"/>
      <c r="AJ48" s="58"/>
      <c r="AK48" s="31" t="str">
        <f t="shared" si="16"/>
        <v/>
      </c>
    </row>
    <row r="49" spans="1:37" x14ac:dyDescent="0.2">
      <c r="A49" s="52" t="b">
        <f t="shared" ca="1" si="17"/>
        <v>0</v>
      </c>
      <c r="C49" s="58"/>
      <c r="D49" s="58"/>
      <c r="E49" s="31" t="str">
        <f t="shared" si="8"/>
        <v/>
      </c>
      <c r="G49" s="58"/>
      <c r="H49" s="58"/>
      <c r="I49" s="31" t="str">
        <f t="shared" si="9"/>
        <v/>
      </c>
      <c r="K49" s="58"/>
      <c r="L49" s="58"/>
      <c r="M49" s="31" t="str">
        <f t="shared" si="10"/>
        <v/>
      </c>
      <c r="O49" s="58"/>
      <c r="P49" s="58"/>
      <c r="Q49" s="31" t="str">
        <f t="shared" si="11"/>
        <v/>
      </c>
      <c r="S49" s="58"/>
      <c r="T49" s="58"/>
      <c r="U49" s="31" t="str">
        <f t="shared" si="12"/>
        <v/>
      </c>
      <c r="W49" s="58"/>
      <c r="X49" s="58"/>
      <c r="Y49" s="31" t="str">
        <f t="shared" si="13"/>
        <v/>
      </c>
      <c r="AA49" s="58"/>
      <c r="AB49" s="58"/>
      <c r="AC49" s="31" t="str">
        <f t="shared" si="14"/>
        <v/>
      </c>
      <c r="AE49" s="58"/>
      <c r="AF49" s="58"/>
      <c r="AG49" s="31" t="str">
        <f t="shared" si="15"/>
        <v/>
      </c>
      <c r="AI49" s="58"/>
      <c r="AJ49" s="58"/>
      <c r="AK49" s="31" t="str">
        <f t="shared" si="16"/>
        <v/>
      </c>
    </row>
    <row r="50" spans="1:37" x14ac:dyDescent="0.2">
      <c r="A50" s="52" t="b">
        <f t="shared" ca="1" si="17"/>
        <v>0</v>
      </c>
      <c r="C50" s="58"/>
      <c r="D50" s="58"/>
      <c r="E50" s="31" t="str">
        <f t="shared" si="8"/>
        <v/>
      </c>
      <c r="G50" s="58"/>
      <c r="H50" s="58"/>
      <c r="I50" s="31" t="str">
        <f t="shared" si="9"/>
        <v/>
      </c>
      <c r="K50" s="58"/>
      <c r="L50" s="58"/>
      <c r="M50" s="31" t="str">
        <f t="shared" si="10"/>
        <v/>
      </c>
      <c r="O50" s="58"/>
      <c r="P50" s="58"/>
      <c r="Q50" s="31" t="str">
        <f t="shared" si="11"/>
        <v/>
      </c>
      <c r="S50" s="58"/>
      <c r="T50" s="58"/>
      <c r="U50" s="31" t="str">
        <f t="shared" si="12"/>
        <v/>
      </c>
      <c r="W50" s="58"/>
      <c r="X50" s="58"/>
      <c r="Y50" s="31" t="str">
        <f t="shared" si="13"/>
        <v/>
      </c>
      <c r="AA50" s="58"/>
      <c r="AB50" s="58"/>
      <c r="AC50" s="31" t="str">
        <f t="shared" si="14"/>
        <v/>
      </c>
      <c r="AE50" s="58"/>
      <c r="AF50" s="58"/>
      <c r="AG50" s="31" t="str">
        <f t="shared" si="15"/>
        <v/>
      </c>
      <c r="AI50" s="58"/>
      <c r="AJ50" s="58"/>
      <c r="AK50" s="31" t="str">
        <f t="shared" si="16"/>
        <v/>
      </c>
    </row>
    <row r="51" spans="1:37" x14ac:dyDescent="0.2">
      <c r="A51" s="52" t="b">
        <f t="shared" ca="1" si="17"/>
        <v>0</v>
      </c>
      <c r="C51" s="58"/>
      <c r="D51" s="58"/>
      <c r="E51" s="31" t="str">
        <f t="shared" si="8"/>
        <v/>
      </c>
      <c r="G51" s="58"/>
      <c r="H51" s="58"/>
      <c r="I51" s="31" t="str">
        <f t="shared" si="9"/>
        <v/>
      </c>
      <c r="K51" s="58"/>
      <c r="L51" s="58"/>
      <c r="M51" s="31" t="str">
        <f t="shared" si="10"/>
        <v/>
      </c>
      <c r="O51" s="58"/>
      <c r="P51" s="58"/>
      <c r="Q51" s="31" t="str">
        <f t="shared" si="11"/>
        <v/>
      </c>
      <c r="S51" s="58"/>
      <c r="T51" s="58"/>
      <c r="U51" s="31" t="str">
        <f t="shared" si="12"/>
        <v/>
      </c>
      <c r="W51" s="58"/>
      <c r="X51" s="58"/>
      <c r="Y51" s="31" t="str">
        <f t="shared" si="13"/>
        <v/>
      </c>
      <c r="AA51" s="58"/>
      <c r="AB51" s="58"/>
      <c r="AC51" s="31" t="str">
        <f t="shared" si="14"/>
        <v/>
      </c>
      <c r="AE51" s="58"/>
      <c r="AF51" s="58"/>
      <c r="AG51" s="31" t="str">
        <f t="shared" si="15"/>
        <v/>
      </c>
      <c r="AI51" s="58"/>
      <c r="AJ51" s="58"/>
      <c r="AK51" s="31" t="str">
        <f t="shared" si="16"/>
        <v/>
      </c>
    </row>
    <row r="52" spans="1:37" x14ac:dyDescent="0.2">
      <c r="A52" s="52" t="b">
        <f t="shared" ca="1" si="17"/>
        <v>0</v>
      </c>
      <c r="C52" s="58"/>
      <c r="D52" s="58"/>
      <c r="E52" s="31" t="str">
        <f t="shared" si="8"/>
        <v/>
      </c>
      <c r="G52" s="58"/>
      <c r="H52" s="58"/>
      <c r="I52" s="31" t="str">
        <f t="shared" si="9"/>
        <v/>
      </c>
      <c r="K52" s="58"/>
      <c r="L52" s="58"/>
      <c r="M52" s="31" t="str">
        <f t="shared" si="10"/>
        <v/>
      </c>
      <c r="O52" s="58"/>
      <c r="P52" s="58"/>
      <c r="Q52" s="31" t="str">
        <f t="shared" si="11"/>
        <v/>
      </c>
      <c r="S52" s="58"/>
      <c r="T52" s="58"/>
      <c r="U52" s="31" t="str">
        <f t="shared" si="12"/>
        <v/>
      </c>
      <c r="W52" s="58"/>
      <c r="X52" s="58"/>
      <c r="Y52" s="31" t="str">
        <f t="shared" si="13"/>
        <v/>
      </c>
      <c r="AA52" s="58"/>
      <c r="AB52" s="58"/>
      <c r="AC52" s="31" t="str">
        <f t="shared" si="14"/>
        <v/>
      </c>
      <c r="AE52" s="58"/>
      <c r="AF52" s="58"/>
      <c r="AG52" s="31" t="str">
        <f t="shared" si="15"/>
        <v/>
      </c>
      <c r="AI52" s="58"/>
      <c r="AJ52" s="58"/>
      <c r="AK52" s="31" t="str">
        <f t="shared" si="16"/>
        <v/>
      </c>
    </row>
    <row r="53" spans="1:37" x14ac:dyDescent="0.2">
      <c r="A53" s="52" t="b">
        <f t="shared" ca="1" si="17"/>
        <v>0</v>
      </c>
      <c r="C53" s="58"/>
      <c r="D53" s="58"/>
      <c r="E53" s="31" t="str">
        <f t="shared" si="8"/>
        <v/>
      </c>
      <c r="G53" s="58"/>
      <c r="H53" s="58"/>
      <c r="I53" s="31" t="str">
        <f t="shared" si="9"/>
        <v/>
      </c>
      <c r="K53" s="58"/>
      <c r="L53" s="58"/>
      <c r="M53" s="31" t="str">
        <f t="shared" si="10"/>
        <v/>
      </c>
      <c r="O53" s="58"/>
      <c r="P53" s="58"/>
      <c r="Q53" s="31" t="str">
        <f t="shared" si="11"/>
        <v/>
      </c>
      <c r="S53" s="58"/>
      <c r="T53" s="58"/>
      <c r="U53" s="31" t="str">
        <f t="shared" si="12"/>
        <v/>
      </c>
      <c r="W53" s="58"/>
      <c r="X53" s="58"/>
      <c r="Y53" s="31" t="str">
        <f t="shared" si="13"/>
        <v/>
      </c>
      <c r="AA53" s="58"/>
      <c r="AB53" s="58"/>
      <c r="AC53" s="31" t="str">
        <f t="shared" si="14"/>
        <v/>
      </c>
      <c r="AE53" s="58"/>
      <c r="AF53" s="58"/>
      <c r="AG53" s="31" t="str">
        <f t="shared" si="15"/>
        <v/>
      </c>
      <c r="AI53" s="58"/>
      <c r="AJ53" s="58"/>
      <c r="AK53" s="31" t="str">
        <f t="shared" si="16"/>
        <v/>
      </c>
    </row>
    <row r="54" spans="1:37" x14ac:dyDescent="0.2">
      <c r="A54" s="52" t="b">
        <f t="shared" ca="1" si="17"/>
        <v>0</v>
      </c>
      <c r="C54" s="58"/>
      <c r="D54" s="58"/>
      <c r="E54" s="31" t="str">
        <f t="shared" si="8"/>
        <v/>
      </c>
      <c r="G54" s="58"/>
      <c r="H54" s="58"/>
      <c r="I54" s="31" t="str">
        <f t="shared" si="9"/>
        <v/>
      </c>
      <c r="K54" s="58"/>
      <c r="L54" s="58"/>
      <c r="M54" s="31" t="str">
        <f t="shared" si="10"/>
        <v/>
      </c>
      <c r="O54" s="58"/>
      <c r="P54" s="58"/>
      <c r="Q54" s="31" t="str">
        <f t="shared" si="11"/>
        <v/>
      </c>
      <c r="S54" s="58"/>
      <c r="T54" s="58"/>
      <c r="U54" s="31" t="str">
        <f t="shared" si="12"/>
        <v/>
      </c>
      <c r="W54" s="58"/>
      <c r="X54" s="58"/>
      <c r="Y54" s="31" t="str">
        <f t="shared" si="13"/>
        <v/>
      </c>
      <c r="AA54" s="58"/>
      <c r="AB54" s="58"/>
      <c r="AC54" s="31" t="str">
        <f t="shared" si="14"/>
        <v/>
      </c>
      <c r="AE54" s="58"/>
      <c r="AF54" s="58"/>
      <c r="AG54" s="31" t="str">
        <f t="shared" si="15"/>
        <v/>
      </c>
      <c r="AI54" s="58"/>
      <c r="AJ54" s="58"/>
      <c r="AK54" s="31" t="str">
        <f t="shared" si="16"/>
        <v/>
      </c>
    </row>
    <row r="55" spans="1:37" x14ac:dyDescent="0.2">
      <c r="A55" s="52" t="b">
        <f t="shared" ca="1" si="17"/>
        <v>0</v>
      </c>
      <c r="C55" s="58"/>
      <c r="D55" s="58"/>
      <c r="E55" s="31" t="str">
        <f t="shared" si="8"/>
        <v/>
      </c>
      <c r="G55" s="58"/>
      <c r="H55" s="58"/>
      <c r="I55" s="31" t="str">
        <f t="shared" si="9"/>
        <v/>
      </c>
      <c r="K55" s="58"/>
      <c r="L55" s="58"/>
      <c r="M55" s="31" t="str">
        <f t="shared" si="10"/>
        <v/>
      </c>
      <c r="O55" s="58"/>
      <c r="P55" s="58"/>
      <c r="Q55" s="31" t="str">
        <f t="shared" si="11"/>
        <v/>
      </c>
      <c r="S55" s="58"/>
      <c r="T55" s="58"/>
      <c r="U55" s="31" t="str">
        <f t="shared" si="12"/>
        <v/>
      </c>
      <c r="W55" s="58"/>
      <c r="X55" s="58"/>
      <c r="Y55" s="31" t="str">
        <f t="shared" si="13"/>
        <v/>
      </c>
      <c r="AA55" s="58"/>
      <c r="AB55" s="58"/>
      <c r="AC55" s="31" t="str">
        <f t="shared" si="14"/>
        <v/>
      </c>
      <c r="AE55" s="58"/>
      <c r="AF55" s="58"/>
      <c r="AG55" s="31" t="str">
        <f t="shared" si="15"/>
        <v/>
      </c>
      <c r="AI55" s="58"/>
      <c r="AJ55" s="58"/>
      <c r="AK55" s="31" t="str">
        <f t="shared" si="16"/>
        <v/>
      </c>
    </row>
    <row r="56" spans="1:37" x14ac:dyDescent="0.2">
      <c r="A56" s="52" t="b">
        <f t="shared" ca="1" si="17"/>
        <v>0</v>
      </c>
      <c r="C56" s="58"/>
      <c r="D56" s="58"/>
      <c r="E56" s="31" t="str">
        <f t="shared" si="8"/>
        <v/>
      </c>
      <c r="G56" s="58"/>
      <c r="H56" s="58"/>
      <c r="I56" s="31" t="str">
        <f t="shared" si="9"/>
        <v/>
      </c>
      <c r="K56" s="58"/>
      <c r="L56" s="58"/>
      <c r="M56" s="31" t="str">
        <f t="shared" si="10"/>
        <v/>
      </c>
      <c r="O56" s="58"/>
      <c r="P56" s="58"/>
      <c r="Q56" s="31" t="str">
        <f t="shared" si="11"/>
        <v/>
      </c>
      <c r="S56" s="58"/>
      <c r="T56" s="58"/>
      <c r="U56" s="31" t="str">
        <f t="shared" si="12"/>
        <v/>
      </c>
      <c r="W56" s="58"/>
      <c r="X56" s="58"/>
      <c r="Y56" s="31" t="str">
        <f t="shared" si="13"/>
        <v/>
      </c>
      <c r="AA56" s="58"/>
      <c r="AB56" s="58"/>
      <c r="AC56" s="31" t="str">
        <f t="shared" si="14"/>
        <v/>
      </c>
      <c r="AE56" s="58"/>
      <c r="AF56" s="58"/>
      <c r="AG56" s="31" t="str">
        <f t="shared" si="15"/>
        <v/>
      </c>
      <c r="AI56" s="58"/>
      <c r="AJ56" s="58"/>
      <c r="AK56" s="31" t="str">
        <f t="shared" si="16"/>
        <v/>
      </c>
    </row>
    <row r="57" spans="1:37" x14ac:dyDescent="0.2">
      <c r="A57" s="52" t="b">
        <f t="shared" ca="1" si="17"/>
        <v>0</v>
      </c>
      <c r="C57" s="58"/>
      <c r="D57" s="58"/>
      <c r="E57" s="31" t="str">
        <f t="shared" si="8"/>
        <v/>
      </c>
      <c r="G57" s="58"/>
      <c r="H57" s="58"/>
      <c r="I57" s="31" t="str">
        <f t="shared" si="9"/>
        <v/>
      </c>
      <c r="K57" s="58"/>
      <c r="L57" s="58"/>
      <c r="M57" s="31" t="str">
        <f t="shared" si="10"/>
        <v/>
      </c>
      <c r="O57" s="58"/>
      <c r="P57" s="58"/>
      <c r="Q57" s="31" t="str">
        <f t="shared" si="11"/>
        <v/>
      </c>
      <c r="S57" s="58"/>
      <c r="T57" s="58"/>
      <c r="U57" s="31" t="str">
        <f t="shared" si="12"/>
        <v/>
      </c>
      <c r="W57" s="58"/>
      <c r="X57" s="58"/>
      <c r="Y57" s="31" t="str">
        <f t="shared" si="13"/>
        <v/>
      </c>
      <c r="AA57" s="58"/>
      <c r="AB57" s="58"/>
      <c r="AC57" s="31" t="str">
        <f t="shared" si="14"/>
        <v/>
      </c>
      <c r="AE57" s="58"/>
      <c r="AF57" s="58"/>
      <c r="AG57" s="31" t="str">
        <f t="shared" si="15"/>
        <v/>
      </c>
      <c r="AI57" s="58"/>
      <c r="AJ57" s="58"/>
      <c r="AK57" s="31" t="str">
        <f t="shared" si="16"/>
        <v/>
      </c>
    </row>
    <row r="58" spans="1:37" x14ac:dyDescent="0.2">
      <c r="A58" s="52" t="b">
        <f t="shared" ca="1" si="17"/>
        <v>0</v>
      </c>
      <c r="C58" s="58"/>
      <c r="D58" s="58"/>
      <c r="E58" s="31" t="str">
        <f t="shared" si="8"/>
        <v/>
      </c>
      <c r="G58" s="58"/>
      <c r="H58" s="58"/>
      <c r="I58" s="31" t="str">
        <f t="shared" si="9"/>
        <v/>
      </c>
      <c r="K58" s="58"/>
      <c r="L58" s="58"/>
      <c r="M58" s="31" t="str">
        <f t="shared" si="10"/>
        <v/>
      </c>
      <c r="O58" s="58"/>
      <c r="P58" s="58"/>
      <c r="Q58" s="31" t="str">
        <f t="shared" si="11"/>
        <v/>
      </c>
      <c r="S58" s="58"/>
      <c r="T58" s="58"/>
      <c r="U58" s="31" t="str">
        <f t="shared" si="12"/>
        <v/>
      </c>
      <c r="W58" s="58"/>
      <c r="X58" s="58"/>
      <c r="Y58" s="31" t="str">
        <f t="shared" si="13"/>
        <v/>
      </c>
      <c r="AA58" s="58"/>
      <c r="AB58" s="58"/>
      <c r="AC58" s="31" t="str">
        <f t="shared" si="14"/>
        <v/>
      </c>
      <c r="AE58" s="58"/>
      <c r="AF58" s="58"/>
      <c r="AG58" s="31" t="str">
        <f t="shared" si="15"/>
        <v/>
      </c>
      <c r="AI58" s="58"/>
      <c r="AJ58" s="58"/>
      <c r="AK58" s="31" t="str">
        <f t="shared" si="16"/>
        <v/>
      </c>
    </row>
    <row r="59" spans="1:37" x14ac:dyDescent="0.2">
      <c r="A59" s="52" t="b">
        <f t="shared" ca="1" si="17"/>
        <v>0</v>
      </c>
      <c r="C59" s="58"/>
      <c r="D59" s="58"/>
      <c r="E59" s="31" t="str">
        <f t="shared" si="8"/>
        <v/>
      </c>
      <c r="G59" s="58"/>
      <c r="H59" s="58"/>
      <c r="I59" s="31" t="str">
        <f t="shared" si="9"/>
        <v/>
      </c>
      <c r="K59" s="58"/>
      <c r="L59" s="58"/>
      <c r="M59" s="31" t="str">
        <f t="shared" si="10"/>
        <v/>
      </c>
      <c r="O59" s="58"/>
      <c r="P59" s="58"/>
      <c r="Q59" s="31" t="str">
        <f t="shared" si="11"/>
        <v/>
      </c>
      <c r="S59" s="58"/>
      <c r="T59" s="58"/>
      <c r="U59" s="31" t="str">
        <f t="shared" si="12"/>
        <v/>
      </c>
      <c r="W59" s="58"/>
      <c r="X59" s="58"/>
      <c r="Y59" s="31" t="str">
        <f t="shared" si="13"/>
        <v/>
      </c>
      <c r="AA59" s="58"/>
      <c r="AB59" s="58"/>
      <c r="AC59" s="31" t="str">
        <f t="shared" si="14"/>
        <v/>
      </c>
      <c r="AE59" s="58"/>
      <c r="AF59" s="58"/>
      <c r="AG59" s="31" t="str">
        <f t="shared" si="15"/>
        <v/>
      </c>
      <c r="AI59" s="58"/>
      <c r="AJ59" s="58"/>
      <c r="AK59" s="31" t="str">
        <f t="shared" si="16"/>
        <v/>
      </c>
    </row>
    <row r="60" spans="1:37" x14ac:dyDescent="0.2">
      <c r="A60" s="52" t="b">
        <f t="shared" ca="1" si="17"/>
        <v>0</v>
      </c>
      <c r="C60" s="58"/>
      <c r="D60" s="58"/>
      <c r="E60" s="31" t="str">
        <f t="shared" si="8"/>
        <v/>
      </c>
      <c r="G60" s="58"/>
      <c r="H60" s="58"/>
      <c r="I60" s="31" t="str">
        <f t="shared" si="9"/>
        <v/>
      </c>
      <c r="K60" s="58"/>
      <c r="L60" s="58"/>
      <c r="M60" s="31" t="str">
        <f t="shared" si="10"/>
        <v/>
      </c>
      <c r="O60" s="58"/>
      <c r="P60" s="58"/>
      <c r="Q60" s="31" t="str">
        <f t="shared" si="11"/>
        <v/>
      </c>
      <c r="S60" s="58"/>
      <c r="T60" s="58"/>
      <c r="U60" s="31" t="str">
        <f t="shared" si="12"/>
        <v/>
      </c>
      <c r="W60" s="58"/>
      <c r="X60" s="58"/>
      <c r="Y60" s="31" t="str">
        <f t="shared" si="13"/>
        <v/>
      </c>
      <c r="AA60" s="58"/>
      <c r="AB60" s="58"/>
      <c r="AC60" s="31" t="str">
        <f t="shared" si="14"/>
        <v/>
      </c>
      <c r="AE60" s="58"/>
      <c r="AF60" s="58"/>
      <c r="AG60" s="31" t="str">
        <f t="shared" si="15"/>
        <v/>
      </c>
      <c r="AI60" s="58"/>
      <c r="AJ60" s="58"/>
      <c r="AK60" s="31" t="str">
        <f t="shared" si="16"/>
        <v/>
      </c>
    </row>
    <row r="61" spans="1:37" x14ac:dyDescent="0.2">
      <c r="A61" s="52" t="b">
        <f t="shared" ca="1" si="17"/>
        <v>0</v>
      </c>
      <c r="C61" s="58"/>
      <c r="D61" s="58"/>
      <c r="E61" s="31" t="str">
        <f t="shared" si="8"/>
        <v/>
      </c>
      <c r="G61" s="58"/>
      <c r="H61" s="58"/>
      <c r="I61" s="31" t="str">
        <f t="shared" si="9"/>
        <v/>
      </c>
      <c r="K61" s="58"/>
      <c r="L61" s="58"/>
      <c r="M61" s="31" t="str">
        <f t="shared" si="10"/>
        <v/>
      </c>
      <c r="O61" s="58"/>
      <c r="P61" s="58"/>
      <c r="Q61" s="31" t="str">
        <f t="shared" si="11"/>
        <v/>
      </c>
      <c r="S61" s="58"/>
      <c r="T61" s="58"/>
      <c r="U61" s="31" t="str">
        <f t="shared" si="12"/>
        <v/>
      </c>
      <c r="W61" s="58"/>
      <c r="X61" s="58"/>
      <c r="Y61" s="31" t="str">
        <f t="shared" si="13"/>
        <v/>
      </c>
      <c r="AA61" s="58"/>
      <c r="AB61" s="58"/>
      <c r="AC61" s="31" t="str">
        <f t="shared" si="14"/>
        <v/>
      </c>
      <c r="AE61" s="58"/>
      <c r="AF61" s="58"/>
      <c r="AG61" s="31" t="str">
        <f t="shared" si="15"/>
        <v/>
      </c>
      <c r="AI61" s="58"/>
      <c r="AJ61" s="58"/>
      <c r="AK61" s="31" t="str">
        <f t="shared" si="16"/>
        <v/>
      </c>
    </row>
    <row r="62" spans="1:37" x14ac:dyDescent="0.2">
      <c r="A62" s="52" t="b">
        <f t="shared" ca="1" si="17"/>
        <v>0</v>
      </c>
      <c r="C62" s="58"/>
      <c r="D62" s="58"/>
      <c r="E62" s="31" t="str">
        <f t="shared" si="8"/>
        <v/>
      </c>
      <c r="G62" s="58"/>
      <c r="H62" s="58"/>
      <c r="I62" s="31" t="str">
        <f t="shared" si="9"/>
        <v/>
      </c>
      <c r="K62" s="58"/>
      <c r="L62" s="58"/>
      <c r="M62" s="31" t="str">
        <f t="shared" si="10"/>
        <v/>
      </c>
      <c r="O62" s="58"/>
      <c r="P62" s="58"/>
      <c r="Q62" s="31" t="str">
        <f t="shared" si="11"/>
        <v/>
      </c>
      <c r="S62" s="58"/>
      <c r="T62" s="58"/>
      <c r="U62" s="31" t="str">
        <f t="shared" si="12"/>
        <v/>
      </c>
      <c r="W62" s="58"/>
      <c r="X62" s="58"/>
      <c r="Y62" s="31" t="str">
        <f t="shared" si="13"/>
        <v/>
      </c>
      <c r="AA62" s="58"/>
      <c r="AB62" s="58"/>
      <c r="AC62" s="31" t="str">
        <f t="shared" si="14"/>
        <v/>
      </c>
      <c r="AE62" s="58"/>
      <c r="AF62" s="58"/>
      <c r="AG62" s="31" t="str">
        <f t="shared" si="15"/>
        <v/>
      </c>
      <c r="AI62" s="58"/>
      <c r="AJ62" s="58"/>
      <c r="AK62" s="31" t="str">
        <f t="shared" si="16"/>
        <v/>
      </c>
    </row>
    <row r="63" spans="1:37" x14ac:dyDescent="0.2">
      <c r="A63" s="52" t="b">
        <f t="shared" ca="1" si="17"/>
        <v>0</v>
      </c>
      <c r="C63" s="58"/>
      <c r="D63" s="58"/>
      <c r="E63" s="31" t="str">
        <f t="shared" si="8"/>
        <v/>
      </c>
      <c r="G63" s="58"/>
      <c r="H63" s="58"/>
      <c r="I63" s="31" t="str">
        <f t="shared" si="9"/>
        <v/>
      </c>
      <c r="K63" s="58"/>
      <c r="L63" s="58"/>
      <c r="M63" s="31" t="str">
        <f t="shared" si="10"/>
        <v/>
      </c>
      <c r="O63" s="58"/>
      <c r="P63" s="58"/>
      <c r="Q63" s="31" t="str">
        <f t="shared" si="11"/>
        <v/>
      </c>
      <c r="S63" s="58"/>
      <c r="T63" s="58"/>
      <c r="U63" s="31" t="str">
        <f t="shared" si="12"/>
        <v/>
      </c>
      <c r="W63" s="58"/>
      <c r="X63" s="58"/>
      <c r="Y63" s="31" t="str">
        <f t="shared" si="13"/>
        <v/>
      </c>
      <c r="AA63" s="58"/>
      <c r="AB63" s="58"/>
      <c r="AC63" s="31" t="str">
        <f t="shared" si="14"/>
        <v/>
      </c>
      <c r="AE63" s="58"/>
      <c r="AF63" s="58"/>
      <c r="AG63" s="31" t="str">
        <f t="shared" si="15"/>
        <v/>
      </c>
      <c r="AI63" s="58"/>
      <c r="AJ63" s="58"/>
      <c r="AK63" s="31" t="str">
        <f t="shared" si="16"/>
        <v/>
      </c>
    </row>
    <row r="64" spans="1:37" x14ac:dyDescent="0.2">
      <c r="A64" s="52" t="b">
        <f t="shared" ca="1" si="17"/>
        <v>0</v>
      </c>
      <c r="C64" s="58"/>
      <c r="D64" s="58"/>
      <c r="E64" s="31" t="str">
        <f t="shared" si="8"/>
        <v/>
      </c>
      <c r="G64" s="58"/>
      <c r="H64" s="58"/>
      <c r="I64" s="31" t="str">
        <f t="shared" si="9"/>
        <v/>
      </c>
      <c r="K64" s="58"/>
      <c r="L64" s="58"/>
      <c r="M64" s="31" t="str">
        <f t="shared" si="10"/>
        <v/>
      </c>
      <c r="O64" s="58"/>
      <c r="P64" s="58"/>
      <c r="Q64" s="31" t="str">
        <f t="shared" si="11"/>
        <v/>
      </c>
      <c r="S64" s="58"/>
      <c r="T64" s="58"/>
      <c r="U64" s="31" t="str">
        <f t="shared" si="12"/>
        <v/>
      </c>
      <c r="W64" s="58"/>
      <c r="X64" s="58"/>
      <c r="Y64" s="31" t="str">
        <f t="shared" si="13"/>
        <v/>
      </c>
      <c r="AA64" s="58"/>
      <c r="AB64" s="58"/>
      <c r="AC64" s="31" t="str">
        <f t="shared" si="14"/>
        <v/>
      </c>
      <c r="AE64" s="58"/>
      <c r="AF64" s="58"/>
      <c r="AG64" s="31" t="str">
        <f t="shared" si="15"/>
        <v/>
      </c>
      <c r="AI64" s="58"/>
      <c r="AJ64" s="58"/>
      <c r="AK64" s="31" t="str">
        <f t="shared" si="16"/>
        <v/>
      </c>
    </row>
    <row r="65" spans="1:37" x14ac:dyDescent="0.2">
      <c r="A65" s="52" t="b">
        <f t="shared" ca="1" si="17"/>
        <v>0</v>
      </c>
      <c r="C65" s="58"/>
      <c r="D65" s="58"/>
      <c r="E65" s="31" t="str">
        <f t="shared" si="8"/>
        <v/>
      </c>
      <c r="G65" s="58"/>
      <c r="H65" s="58"/>
      <c r="I65" s="31" t="str">
        <f t="shared" si="9"/>
        <v/>
      </c>
      <c r="K65" s="58"/>
      <c r="L65" s="58"/>
      <c r="M65" s="31" t="str">
        <f t="shared" si="10"/>
        <v/>
      </c>
      <c r="O65" s="58"/>
      <c r="P65" s="58"/>
      <c r="Q65" s="31" t="str">
        <f t="shared" si="11"/>
        <v/>
      </c>
      <c r="S65" s="58"/>
      <c r="T65" s="58"/>
      <c r="U65" s="31" t="str">
        <f t="shared" si="12"/>
        <v/>
      </c>
      <c r="W65" s="58"/>
      <c r="X65" s="58"/>
      <c r="Y65" s="31" t="str">
        <f t="shared" si="13"/>
        <v/>
      </c>
      <c r="AA65" s="58"/>
      <c r="AB65" s="58"/>
      <c r="AC65" s="31" t="str">
        <f t="shared" si="14"/>
        <v/>
      </c>
      <c r="AE65" s="58"/>
      <c r="AF65" s="58"/>
      <c r="AG65" s="31" t="str">
        <f t="shared" si="15"/>
        <v/>
      </c>
      <c r="AI65" s="58"/>
      <c r="AJ65" s="58"/>
      <c r="AK65" s="31" t="str">
        <f t="shared" si="16"/>
        <v/>
      </c>
    </row>
    <row r="66" spans="1:37" x14ac:dyDescent="0.2">
      <c r="A66" s="52" t="b">
        <f t="shared" ca="1" si="17"/>
        <v>0</v>
      </c>
      <c r="C66" s="58"/>
      <c r="D66" s="58"/>
      <c r="E66" s="31" t="str">
        <f t="shared" ref="E66:E97" si="18">IF(C66="","",D66/VLOOKUP(u_Weight,a_Weight,2,FALSE))</f>
        <v/>
      </c>
      <c r="G66" s="58"/>
      <c r="H66" s="58"/>
      <c r="I66" s="31" t="str">
        <f t="shared" ref="I66:I97" si="19">IF(G66="","",H66/VLOOKUP(u_Distance,a_Distance,2,FALSE))</f>
        <v/>
      </c>
      <c r="K66" s="58"/>
      <c r="L66" s="58"/>
      <c r="M66" s="31" t="str">
        <f t="shared" ref="M66:M97" si="20">IF(K66="","",L66/VLOOKUP(u_Volume,a_Volume,2,FALSE))</f>
        <v/>
      </c>
      <c r="O66" s="58"/>
      <c r="P66" s="58"/>
      <c r="Q66" s="31" t="str">
        <f t="shared" ref="Q66:Q97" si="21">IF(O66="","",P66/VLOOKUP(u_Energy,a_Energy,2,FALSE))</f>
        <v/>
      </c>
      <c r="S66" s="58"/>
      <c r="T66" s="58"/>
      <c r="U66" s="31" t="str">
        <f t="shared" ref="U66:U97" si="22">IF(S66="","",T66/VLOOKUP(u_Freight,a_Freight,2,FALSE))</f>
        <v/>
      </c>
      <c r="W66" s="58"/>
      <c r="X66" s="58"/>
      <c r="Y66" s="31" t="str">
        <f t="shared" ref="Y66:Y97" si="23">IF(W66="","",X66/VLOOKUP(u_Time,a_Time,2,FALSE))</f>
        <v/>
      </c>
      <c r="AA66" s="58"/>
      <c r="AB66" s="58"/>
      <c r="AC66" s="31" t="str">
        <f t="shared" ref="AC66:AC97" si="24">IF(AA66="","",AB66/VLOOKUP(u_Area,a_Area,2,FALSE))</f>
        <v/>
      </c>
      <c r="AE66" s="58"/>
      <c r="AF66" s="58"/>
      <c r="AG66" s="31" t="str">
        <f t="shared" si="15"/>
        <v/>
      </c>
      <c r="AI66" s="58"/>
      <c r="AJ66" s="58"/>
      <c r="AK66" s="31" t="str">
        <f t="shared" si="16"/>
        <v/>
      </c>
    </row>
    <row r="67" spans="1:37" x14ac:dyDescent="0.2">
      <c r="A67" s="52" t="b">
        <f t="shared" ca="1" si="17"/>
        <v>0</v>
      </c>
      <c r="C67" s="58"/>
      <c r="D67" s="58"/>
      <c r="E67" s="31" t="str">
        <f t="shared" si="18"/>
        <v/>
      </c>
      <c r="G67" s="58"/>
      <c r="H67" s="58"/>
      <c r="I67" s="31" t="str">
        <f t="shared" si="19"/>
        <v/>
      </c>
      <c r="K67" s="58"/>
      <c r="L67" s="58"/>
      <c r="M67" s="31" t="str">
        <f t="shared" si="20"/>
        <v/>
      </c>
      <c r="O67" s="58"/>
      <c r="P67" s="58"/>
      <c r="Q67" s="31" t="str">
        <f t="shared" si="21"/>
        <v/>
      </c>
      <c r="S67" s="58"/>
      <c r="T67" s="58"/>
      <c r="U67" s="31" t="str">
        <f t="shared" si="22"/>
        <v/>
      </c>
      <c r="W67" s="58"/>
      <c r="X67" s="58"/>
      <c r="Y67" s="31" t="str">
        <f t="shared" si="23"/>
        <v/>
      </c>
      <c r="AA67" s="58"/>
      <c r="AB67" s="58"/>
      <c r="AC67" s="31" t="str">
        <f t="shared" si="24"/>
        <v/>
      </c>
      <c r="AE67" s="58"/>
      <c r="AF67" s="58"/>
      <c r="AG67" s="31" t="str">
        <f t="shared" ref="AG67:AG98" si="25">IF(AE67="","",AF67/VLOOKUP(u_Area,a_Area,2,FALSE))</f>
        <v/>
      </c>
      <c r="AI67" s="58"/>
      <c r="AJ67" s="58"/>
      <c r="AK67" s="31" t="str">
        <f t="shared" si="16"/>
        <v/>
      </c>
    </row>
    <row r="68" spans="1:37" x14ac:dyDescent="0.2">
      <c r="A68" s="52" t="b">
        <f t="shared" ca="1" si="17"/>
        <v>0</v>
      </c>
      <c r="C68" s="58"/>
      <c r="D68" s="58"/>
      <c r="E68" s="31" t="str">
        <f t="shared" si="18"/>
        <v/>
      </c>
      <c r="G68" s="58"/>
      <c r="H68" s="58"/>
      <c r="I68" s="31" t="str">
        <f t="shared" si="19"/>
        <v/>
      </c>
      <c r="K68" s="58"/>
      <c r="L68" s="58"/>
      <c r="M68" s="31" t="str">
        <f t="shared" si="20"/>
        <v/>
      </c>
      <c r="O68" s="58"/>
      <c r="P68" s="58"/>
      <c r="Q68" s="31" t="str">
        <f t="shared" si="21"/>
        <v/>
      </c>
      <c r="S68" s="58"/>
      <c r="T68" s="58"/>
      <c r="U68" s="31" t="str">
        <f t="shared" si="22"/>
        <v/>
      </c>
      <c r="W68" s="58"/>
      <c r="X68" s="58"/>
      <c r="Y68" s="31" t="str">
        <f t="shared" si="23"/>
        <v/>
      </c>
      <c r="AA68" s="58"/>
      <c r="AB68" s="58"/>
      <c r="AC68" s="31" t="str">
        <f t="shared" si="24"/>
        <v/>
      </c>
      <c r="AE68" s="58"/>
      <c r="AF68" s="58"/>
      <c r="AG68" s="31" t="str">
        <f t="shared" si="25"/>
        <v/>
      </c>
      <c r="AI68" s="58"/>
      <c r="AJ68" s="58"/>
      <c r="AK68" s="31" t="str">
        <f t="shared" si="16"/>
        <v/>
      </c>
    </row>
    <row r="69" spans="1:37" x14ac:dyDescent="0.2">
      <c r="A69" s="52" t="b">
        <f t="shared" ca="1" si="17"/>
        <v>0</v>
      </c>
      <c r="C69" s="58"/>
      <c r="D69" s="58"/>
      <c r="E69" s="31" t="str">
        <f t="shared" si="18"/>
        <v/>
      </c>
      <c r="G69" s="58"/>
      <c r="H69" s="58"/>
      <c r="I69" s="31" t="str">
        <f t="shared" si="19"/>
        <v/>
      </c>
      <c r="K69" s="58"/>
      <c r="L69" s="58"/>
      <c r="M69" s="31" t="str">
        <f t="shared" si="20"/>
        <v/>
      </c>
      <c r="O69" s="58"/>
      <c r="P69" s="58"/>
      <c r="Q69" s="31" t="str">
        <f t="shared" si="21"/>
        <v/>
      </c>
      <c r="S69" s="58"/>
      <c r="T69" s="58"/>
      <c r="U69" s="31" t="str">
        <f t="shared" si="22"/>
        <v/>
      </c>
      <c r="W69" s="58"/>
      <c r="X69" s="58"/>
      <c r="Y69" s="31" t="str">
        <f t="shared" si="23"/>
        <v/>
      </c>
      <c r="AA69" s="58"/>
      <c r="AB69" s="58"/>
      <c r="AC69" s="31" t="str">
        <f t="shared" si="24"/>
        <v/>
      </c>
      <c r="AE69" s="58"/>
      <c r="AF69" s="58"/>
      <c r="AG69" s="31" t="str">
        <f t="shared" si="25"/>
        <v/>
      </c>
      <c r="AI69" s="58"/>
      <c r="AJ69" s="58"/>
      <c r="AK69" s="31" t="str">
        <f t="shared" si="16"/>
        <v/>
      </c>
    </row>
    <row r="70" spans="1:37" x14ac:dyDescent="0.2">
      <c r="A70" s="52" t="b">
        <f t="shared" ca="1" si="17"/>
        <v>0</v>
      </c>
      <c r="C70" s="58"/>
      <c r="D70" s="58"/>
      <c r="E70" s="31" t="str">
        <f t="shared" si="18"/>
        <v/>
      </c>
      <c r="G70" s="58"/>
      <c r="H70" s="58"/>
      <c r="I70" s="31" t="str">
        <f t="shared" si="19"/>
        <v/>
      </c>
      <c r="K70" s="58"/>
      <c r="L70" s="58"/>
      <c r="M70" s="31" t="str">
        <f t="shared" si="20"/>
        <v/>
      </c>
      <c r="O70" s="58"/>
      <c r="P70" s="58"/>
      <c r="Q70" s="31" t="str">
        <f t="shared" si="21"/>
        <v/>
      </c>
      <c r="S70" s="58"/>
      <c r="T70" s="58"/>
      <c r="U70" s="31" t="str">
        <f t="shared" si="22"/>
        <v/>
      </c>
      <c r="W70" s="58"/>
      <c r="X70" s="58"/>
      <c r="Y70" s="31" t="str">
        <f t="shared" si="23"/>
        <v/>
      </c>
      <c r="AA70" s="58"/>
      <c r="AB70" s="58"/>
      <c r="AC70" s="31" t="str">
        <f t="shared" si="24"/>
        <v/>
      </c>
      <c r="AE70" s="58"/>
      <c r="AF70" s="58"/>
      <c r="AG70" s="31" t="str">
        <f t="shared" si="25"/>
        <v/>
      </c>
      <c r="AI70" s="58"/>
      <c r="AJ70" s="58"/>
      <c r="AK70" s="31" t="str">
        <f t="shared" si="16"/>
        <v/>
      </c>
    </row>
    <row r="71" spans="1:37" x14ac:dyDescent="0.2">
      <c r="A71" s="52" t="b">
        <f t="shared" ca="1" si="17"/>
        <v>0</v>
      </c>
      <c r="C71" s="58"/>
      <c r="D71" s="58"/>
      <c r="E71" s="31" t="str">
        <f t="shared" si="18"/>
        <v/>
      </c>
      <c r="G71" s="58"/>
      <c r="H71" s="58"/>
      <c r="I71" s="31" t="str">
        <f t="shared" si="19"/>
        <v/>
      </c>
      <c r="K71" s="58"/>
      <c r="L71" s="58"/>
      <c r="M71" s="31" t="str">
        <f t="shared" si="20"/>
        <v/>
      </c>
      <c r="O71" s="58"/>
      <c r="P71" s="58"/>
      <c r="Q71" s="31" t="str">
        <f t="shared" si="21"/>
        <v/>
      </c>
      <c r="S71" s="58"/>
      <c r="T71" s="58"/>
      <c r="U71" s="31" t="str">
        <f t="shared" si="22"/>
        <v/>
      </c>
      <c r="W71" s="58"/>
      <c r="X71" s="58"/>
      <c r="Y71" s="31" t="str">
        <f t="shared" si="23"/>
        <v/>
      </c>
      <c r="AA71" s="58"/>
      <c r="AB71" s="58"/>
      <c r="AC71" s="31" t="str">
        <f t="shared" si="24"/>
        <v/>
      </c>
      <c r="AE71" s="58"/>
      <c r="AF71" s="58"/>
      <c r="AG71" s="31" t="str">
        <f t="shared" si="25"/>
        <v/>
      </c>
      <c r="AI71" s="58"/>
      <c r="AJ71" s="58"/>
      <c r="AK71" s="31" t="str">
        <f t="shared" si="16"/>
        <v/>
      </c>
    </row>
    <row r="72" spans="1:37" x14ac:dyDescent="0.2">
      <c r="A72" s="52" t="b">
        <f t="shared" ca="1" si="17"/>
        <v>0</v>
      </c>
      <c r="C72" s="58"/>
      <c r="D72" s="58"/>
      <c r="E72" s="31" t="str">
        <f t="shared" si="18"/>
        <v/>
      </c>
      <c r="G72" s="58"/>
      <c r="H72" s="58"/>
      <c r="I72" s="31" t="str">
        <f t="shared" si="19"/>
        <v/>
      </c>
      <c r="K72" s="58"/>
      <c r="L72" s="58"/>
      <c r="M72" s="31" t="str">
        <f t="shared" si="20"/>
        <v/>
      </c>
      <c r="O72" s="58"/>
      <c r="P72" s="58"/>
      <c r="Q72" s="31" t="str">
        <f t="shared" si="21"/>
        <v/>
      </c>
      <c r="S72" s="58"/>
      <c r="T72" s="58"/>
      <c r="U72" s="31" t="str">
        <f t="shared" si="22"/>
        <v/>
      </c>
      <c r="W72" s="58"/>
      <c r="X72" s="58"/>
      <c r="Y72" s="31" t="str">
        <f t="shared" si="23"/>
        <v/>
      </c>
      <c r="AA72" s="58"/>
      <c r="AB72" s="58"/>
      <c r="AC72" s="31" t="str">
        <f t="shared" si="24"/>
        <v/>
      </c>
      <c r="AE72" s="58"/>
      <c r="AF72" s="58"/>
      <c r="AG72" s="31" t="str">
        <f t="shared" si="25"/>
        <v/>
      </c>
      <c r="AI72" s="58"/>
      <c r="AJ72" s="58"/>
      <c r="AK72" s="31" t="str">
        <f t="shared" si="16"/>
        <v/>
      </c>
    </row>
    <row r="73" spans="1:37" x14ac:dyDescent="0.2">
      <c r="A73" s="52" t="b">
        <f t="shared" ca="1" si="17"/>
        <v>0</v>
      </c>
      <c r="C73" s="58"/>
      <c r="D73" s="58"/>
      <c r="E73" s="31" t="str">
        <f t="shared" si="18"/>
        <v/>
      </c>
      <c r="G73" s="58"/>
      <c r="H73" s="58"/>
      <c r="I73" s="31" t="str">
        <f t="shared" si="19"/>
        <v/>
      </c>
      <c r="K73" s="58"/>
      <c r="L73" s="58"/>
      <c r="M73" s="31" t="str">
        <f t="shared" si="20"/>
        <v/>
      </c>
      <c r="O73" s="58"/>
      <c r="P73" s="58"/>
      <c r="Q73" s="31" t="str">
        <f t="shared" si="21"/>
        <v/>
      </c>
      <c r="S73" s="58"/>
      <c r="T73" s="58"/>
      <c r="U73" s="31" t="str">
        <f t="shared" si="22"/>
        <v/>
      </c>
      <c r="W73" s="58"/>
      <c r="X73" s="58"/>
      <c r="Y73" s="31" t="str">
        <f t="shared" si="23"/>
        <v/>
      </c>
      <c r="AA73" s="58"/>
      <c r="AB73" s="58"/>
      <c r="AC73" s="31" t="str">
        <f t="shared" si="24"/>
        <v/>
      </c>
      <c r="AE73" s="58"/>
      <c r="AF73" s="58"/>
      <c r="AG73" s="31" t="str">
        <f t="shared" si="25"/>
        <v/>
      </c>
      <c r="AI73" s="58"/>
      <c r="AJ73" s="58"/>
      <c r="AK73" s="31" t="str">
        <f t="shared" si="16"/>
        <v/>
      </c>
    </row>
    <row r="74" spans="1:37" x14ac:dyDescent="0.2">
      <c r="A74" s="52" t="b">
        <f t="shared" ca="1" si="17"/>
        <v>0</v>
      </c>
      <c r="C74" s="58"/>
      <c r="D74" s="58"/>
      <c r="E74" s="31" t="str">
        <f t="shared" si="18"/>
        <v/>
      </c>
      <c r="G74" s="58"/>
      <c r="H74" s="58"/>
      <c r="I74" s="31" t="str">
        <f t="shared" si="19"/>
        <v/>
      </c>
      <c r="K74" s="58"/>
      <c r="L74" s="58"/>
      <c r="M74" s="31" t="str">
        <f t="shared" si="20"/>
        <v/>
      </c>
      <c r="O74" s="58"/>
      <c r="P74" s="58"/>
      <c r="Q74" s="31" t="str">
        <f t="shared" si="21"/>
        <v/>
      </c>
      <c r="S74" s="58"/>
      <c r="T74" s="58"/>
      <c r="U74" s="31" t="str">
        <f t="shared" si="22"/>
        <v/>
      </c>
      <c r="W74" s="58"/>
      <c r="X74" s="58"/>
      <c r="Y74" s="31" t="str">
        <f t="shared" si="23"/>
        <v/>
      </c>
      <c r="AA74" s="58"/>
      <c r="AB74" s="58"/>
      <c r="AC74" s="31" t="str">
        <f t="shared" si="24"/>
        <v/>
      </c>
      <c r="AE74" s="58"/>
      <c r="AF74" s="58"/>
      <c r="AG74" s="31" t="str">
        <f t="shared" si="25"/>
        <v/>
      </c>
      <c r="AI74" s="58"/>
      <c r="AJ74" s="58"/>
      <c r="AK74" s="31" t="str">
        <f t="shared" si="16"/>
        <v/>
      </c>
    </row>
    <row r="75" spans="1:37" x14ac:dyDescent="0.2">
      <c r="A75" s="52" t="b">
        <f t="shared" ca="1" si="17"/>
        <v>0</v>
      </c>
      <c r="C75" s="58"/>
      <c r="D75" s="58"/>
      <c r="E75" s="31" t="str">
        <f t="shared" si="18"/>
        <v/>
      </c>
      <c r="G75" s="58"/>
      <c r="H75" s="58"/>
      <c r="I75" s="31" t="str">
        <f t="shared" si="19"/>
        <v/>
      </c>
      <c r="K75" s="58"/>
      <c r="L75" s="58"/>
      <c r="M75" s="31" t="str">
        <f t="shared" si="20"/>
        <v/>
      </c>
      <c r="O75" s="58"/>
      <c r="P75" s="58"/>
      <c r="Q75" s="31" t="str">
        <f t="shared" si="21"/>
        <v/>
      </c>
      <c r="S75" s="58"/>
      <c r="T75" s="58"/>
      <c r="U75" s="31" t="str">
        <f t="shared" si="22"/>
        <v/>
      </c>
      <c r="W75" s="58"/>
      <c r="X75" s="58"/>
      <c r="Y75" s="31" t="str">
        <f t="shared" si="23"/>
        <v/>
      </c>
      <c r="AA75" s="58"/>
      <c r="AB75" s="58"/>
      <c r="AC75" s="31" t="str">
        <f t="shared" si="24"/>
        <v/>
      </c>
      <c r="AE75" s="58"/>
      <c r="AF75" s="58"/>
      <c r="AG75" s="31" t="str">
        <f t="shared" si="25"/>
        <v/>
      </c>
      <c r="AI75" s="58"/>
      <c r="AJ75" s="58"/>
      <c r="AK75" s="31" t="str">
        <f t="shared" si="16"/>
        <v/>
      </c>
    </row>
    <row r="76" spans="1:37" x14ac:dyDescent="0.2">
      <c r="A76" s="52" t="b">
        <f t="shared" ca="1" si="17"/>
        <v>0</v>
      </c>
      <c r="C76" s="58"/>
      <c r="D76" s="58"/>
      <c r="E76" s="31" t="str">
        <f t="shared" si="18"/>
        <v/>
      </c>
      <c r="G76" s="58"/>
      <c r="H76" s="58"/>
      <c r="I76" s="31" t="str">
        <f t="shared" si="19"/>
        <v/>
      </c>
      <c r="K76" s="58"/>
      <c r="L76" s="58"/>
      <c r="M76" s="31" t="str">
        <f t="shared" si="20"/>
        <v/>
      </c>
      <c r="O76" s="58"/>
      <c r="P76" s="58"/>
      <c r="Q76" s="31" t="str">
        <f t="shared" si="21"/>
        <v/>
      </c>
      <c r="S76" s="58"/>
      <c r="T76" s="58"/>
      <c r="U76" s="31" t="str">
        <f t="shared" si="22"/>
        <v/>
      </c>
      <c r="W76" s="58"/>
      <c r="X76" s="58"/>
      <c r="Y76" s="31" t="str">
        <f t="shared" si="23"/>
        <v/>
      </c>
      <c r="AA76" s="58"/>
      <c r="AB76" s="58"/>
      <c r="AC76" s="31" t="str">
        <f t="shared" si="24"/>
        <v/>
      </c>
      <c r="AE76" s="58"/>
      <c r="AF76" s="58"/>
      <c r="AG76" s="31" t="str">
        <f t="shared" si="25"/>
        <v/>
      </c>
      <c r="AI76" s="58"/>
      <c r="AJ76" s="58"/>
      <c r="AK76" s="31" t="str">
        <f t="shared" si="16"/>
        <v/>
      </c>
    </row>
    <row r="77" spans="1:37" x14ac:dyDescent="0.2">
      <c r="A77" s="52" t="b">
        <f t="shared" ca="1" si="17"/>
        <v>0</v>
      </c>
      <c r="C77" s="58"/>
      <c r="D77" s="58"/>
      <c r="E77" s="31" t="str">
        <f t="shared" si="18"/>
        <v/>
      </c>
      <c r="G77" s="58"/>
      <c r="H77" s="58"/>
      <c r="I77" s="31" t="str">
        <f t="shared" si="19"/>
        <v/>
      </c>
      <c r="K77" s="58"/>
      <c r="L77" s="58"/>
      <c r="M77" s="31" t="str">
        <f t="shared" si="20"/>
        <v/>
      </c>
      <c r="O77" s="58"/>
      <c r="P77" s="58"/>
      <c r="Q77" s="31" t="str">
        <f t="shared" si="21"/>
        <v/>
      </c>
      <c r="S77" s="58"/>
      <c r="T77" s="58"/>
      <c r="U77" s="31" t="str">
        <f t="shared" si="22"/>
        <v/>
      </c>
      <c r="W77" s="58"/>
      <c r="X77" s="58"/>
      <c r="Y77" s="31" t="str">
        <f t="shared" si="23"/>
        <v/>
      </c>
      <c r="AA77" s="58"/>
      <c r="AB77" s="58"/>
      <c r="AC77" s="31" t="str">
        <f t="shared" si="24"/>
        <v/>
      </c>
      <c r="AE77" s="58"/>
      <c r="AF77" s="58"/>
      <c r="AG77" s="31" t="str">
        <f t="shared" si="25"/>
        <v/>
      </c>
      <c r="AI77" s="58"/>
      <c r="AJ77" s="58"/>
      <c r="AK77" s="31" t="str">
        <f t="shared" si="16"/>
        <v/>
      </c>
    </row>
    <row r="78" spans="1:37" x14ac:dyDescent="0.2">
      <c r="A78" s="52" t="b">
        <f t="shared" ca="1" si="17"/>
        <v>0</v>
      </c>
      <c r="C78" s="58"/>
      <c r="D78" s="58"/>
      <c r="E78" s="31" t="str">
        <f t="shared" si="18"/>
        <v/>
      </c>
      <c r="G78" s="58"/>
      <c r="H78" s="58"/>
      <c r="I78" s="31" t="str">
        <f t="shared" si="19"/>
        <v/>
      </c>
      <c r="K78" s="58"/>
      <c r="L78" s="58"/>
      <c r="M78" s="31" t="str">
        <f t="shared" si="20"/>
        <v/>
      </c>
      <c r="O78" s="58"/>
      <c r="P78" s="58"/>
      <c r="Q78" s="31" t="str">
        <f t="shared" si="21"/>
        <v/>
      </c>
      <c r="S78" s="58"/>
      <c r="T78" s="58"/>
      <c r="U78" s="31" t="str">
        <f t="shared" si="22"/>
        <v/>
      </c>
      <c r="W78" s="58"/>
      <c r="X78" s="58"/>
      <c r="Y78" s="31" t="str">
        <f t="shared" si="23"/>
        <v/>
      </c>
      <c r="AA78" s="58"/>
      <c r="AB78" s="58"/>
      <c r="AC78" s="31" t="str">
        <f t="shared" si="24"/>
        <v/>
      </c>
      <c r="AE78" s="58"/>
      <c r="AF78" s="58"/>
      <c r="AG78" s="31" t="str">
        <f t="shared" si="25"/>
        <v/>
      </c>
      <c r="AI78" s="58"/>
      <c r="AJ78" s="58"/>
      <c r="AK78" s="31" t="str">
        <f t="shared" si="16"/>
        <v/>
      </c>
    </row>
    <row r="79" spans="1:37" x14ac:dyDescent="0.2">
      <c r="A79" s="52" t="b">
        <f t="shared" ca="1" si="17"/>
        <v>0</v>
      </c>
      <c r="C79" s="58"/>
      <c r="D79" s="58"/>
      <c r="E79" s="31" t="str">
        <f t="shared" si="18"/>
        <v/>
      </c>
      <c r="G79" s="58"/>
      <c r="H79" s="58"/>
      <c r="I79" s="31" t="str">
        <f t="shared" si="19"/>
        <v/>
      </c>
      <c r="K79" s="58"/>
      <c r="L79" s="58"/>
      <c r="M79" s="31" t="str">
        <f t="shared" si="20"/>
        <v/>
      </c>
      <c r="O79" s="58"/>
      <c r="P79" s="58"/>
      <c r="Q79" s="31" t="str">
        <f t="shared" si="21"/>
        <v/>
      </c>
      <c r="S79" s="58"/>
      <c r="T79" s="58"/>
      <c r="U79" s="31" t="str">
        <f t="shared" si="22"/>
        <v/>
      </c>
      <c r="W79" s="58"/>
      <c r="X79" s="58"/>
      <c r="Y79" s="31" t="str">
        <f t="shared" si="23"/>
        <v/>
      </c>
      <c r="AA79" s="58"/>
      <c r="AB79" s="58"/>
      <c r="AC79" s="31" t="str">
        <f t="shared" si="24"/>
        <v/>
      </c>
      <c r="AE79" s="58"/>
      <c r="AF79" s="58"/>
      <c r="AG79" s="31" t="str">
        <f t="shared" si="25"/>
        <v/>
      </c>
      <c r="AI79" s="58"/>
      <c r="AJ79" s="58"/>
      <c r="AK79" s="31" t="str">
        <f t="shared" si="16"/>
        <v/>
      </c>
    </row>
    <row r="80" spans="1:37" x14ac:dyDescent="0.2">
      <c r="A80" s="52" t="b">
        <f t="shared" ca="1" si="17"/>
        <v>0</v>
      </c>
      <c r="C80" s="58"/>
      <c r="D80" s="58"/>
      <c r="E80" s="31" t="str">
        <f t="shared" si="18"/>
        <v/>
      </c>
      <c r="G80" s="58"/>
      <c r="H80" s="58"/>
      <c r="I80" s="31" t="str">
        <f t="shared" si="19"/>
        <v/>
      </c>
      <c r="K80" s="58"/>
      <c r="L80" s="58"/>
      <c r="M80" s="31" t="str">
        <f t="shared" si="20"/>
        <v/>
      </c>
      <c r="O80" s="58"/>
      <c r="P80" s="58"/>
      <c r="Q80" s="31" t="str">
        <f t="shared" si="21"/>
        <v/>
      </c>
      <c r="S80" s="58"/>
      <c r="T80" s="58"/>
      <c r="U80" s="31" t="str">
        <f t="shared" si="22"/>
        <v/>
      </c>
      <c r="W80" s="58"/>
      <c r="X80" s="58"/>
      <c r="Y80" s="31" t="str">
        <f t="shared" si="23"/>
        <v/>
      </c>
      <c r="AA80" s="58"/>
      <c r="AB80" s="58"/>
      <c r="AC80" s="31" t="str">
        <f t="shared" si="24"/>
        <v/>
      </c>
      <c r="AE80" s="58"/>
      <c r="AF80" s="58"/>
      <c r="AG80" s="31" t="str">
        <f t="shared" si="25"/>
        <v/>
      </c>
      <c r="AI80" s="58"/>
      <c r="AJ80" s="58"/>
      <c r="AK80" s="31" t="str">
        <f t="shared" si="16"/>
        <v/>
      </c>
    </row>
    <row r="81" spans="1:37" x14ac:dyDescent="0.2">
      <c r="A81" s="52" t="b">
        <f t="shared" ca="1" si="17"/>
        <v>0</v>
      </c>
      <c r="C81" s="58"/>
      <c r="D81" s="58"/>
      <c r="E81" s="31" t="str">
        <f t="shared" si="18"/>
        <v/>
      </c>
      <c r="G81" s="58"/>
      <c r="H81" s="58"/>
      <c r="I81" s="31" t="str">
        <f t="shared" si="19"/>
        <v/>
      </c>
      <c r="K81" s="58"/>
      <c r="L81" s="58"/>
      <c r="M81" s="31" t="str">
        <f t="shared" si="20"/>
        <v/>
      </c>
      <c r="O81" s="58"/>
      <c r="P81" s="58"/>
      <c r="Q81" s="31" t="str">
        <f t="shared" si="21"/>
        <v/>
      </c>
      <c r="S81" s="58"/>
      <c r="T81" s="58"/>
      <c r="U81" s="31" t="str">
        <f t="shared" si="22"/>
        <v/>
      </c>
      <c r="W81" s="58"/>
      <c r="X81" s="58"/>
      <c r="Y81" s="31" t="str">
        <f t="shared" si="23"/>
        <v/>
      </c>
      <c r="AA81" s="58"/>
      <c r="AB81" s="58"/>
      <c r="AC81" s="31" t="str">
        <f t="shared" si="24"/>
        <v/>
      </c>
      <c r="AE81" s="58"/>
      <c r="AF81" s="58"/>
      <c r="AG81" s="31" t="str">
        <f t="shared" si="25"/>
        <v/>
      </c>
      <c r="AI81" s="58"/>
      <c r="AJ81" s="58"/>
      <c r="AK81" s="31" t="str">
        <f t="shared" si="16"/>
        <v/>
      </c>
    </row>
    <row r="82" spans="1:37" x14ac:dyDescent="0.2">
      <c r="A82" s="52" t="b">
        <f t="shared" ca="1" si="17"/>
        <v>0</v>
      </c>
      <c r="C82" s="58"/>
      <c r="D82" s="58"/>
      <c r="E82" s="31" t="str">
        <f t="shared" si="18"/>
        <v/>
      </c>
      <c r="G82" s="58"/>
      <c r="H82" s="58"/>
      <c r="I82" s="31" t="str">
        <f t="shared" si="19"/>
        <v/>
      </c>
      <c r="K82" s="58"/>
      <c r="L82" s="58"/>
      <c r="M82" s="31" t="str">
        <f t="shared" si="20"/>
        <v/>
      </c>
      <c r="O82" s="58"/>
      <c r="P82" s="58"/>
      <c r="Q82" s="31" t="str">
        <f t="shared" si="21"/>
        <v/>
      </c>
      <c r="S82" s="58"/>
      <c r="T82" s="58"/>
      <c r="U82" s="31" t="str">
        <f t="shared" si="22"/>
        <v/>
      </c>
      <c r="W82" s="58"/>
      <c r="X82" s="58"/>
      <c r="Y82" s="31" t="str">
        <f t="shared" si="23"/>
        <v/>
      </c>
      <c r="AA82" s="58"/>
      <c r="AB82" s="58"/>
      <c r="AC82" s="31" t="str">
        <f t="shared" si="24"/>
        <v/>
      </c>
      <c r="AE82" s="58"/>
      <c r="AF82" s="58"/>
      <c r="AG82" s="31" t="str">
        <f t="shared" si="25"/>
        <v/>
      </c>
      <c r="AI82" s="58"/>
      <c r="AJ82" s="58"/>
      <c r="AK82" s="31" t="str">
        <f t="shared" si="16"/>
        <v/>
      </c>
    </row>
    <row r="83" spans="1:37" x14ac:dyDescent="0.2">
      <c r="A83" s="52" t="b">
        <f t="shared" ca="1" si="17"/>
        <v>0</v>
      </c>
      <c r="C83" s="58"/>
      <c r="D83" s="58"/>
      <c r="E83" s="31" t="str">
        <f t="shared" si="18"/>
        <v/>
      </c>
      <c r="G83" s="58"/>
      <c r="H83" s="58"/>
      <c r="I83" s="31" t="str">
        <f t="shared" si="19"/>
        <v/>
      </c>
      <c r="K83" s="58"/>
      <c r="L83" s="58"/>
      <c r="M83" s="31" t="str">
        <f t="shared" si="20"/>
        <v/>
      </c>
      <c r="O83" s="58"/>
      <c r="P83" s="58"/>
      <c r="Q83" s="31" t="str">
        <f t="shared" si="21"/>
        <v/>
      </c>
      <c r="S83" s="58"/>
      <c r="T83" s="58"/>
      <c r="U83" s="31" t="str">
        <f t="shared" si="22"/>
        <v/>
      </c>
      <c r="W83" s="58"/>
      <c r="X83" s="58"/>
      <c r="Y83" s="31" t="str">
        <f t="shared" si="23"/>
        <v/>
      </c>
      <c r="AA83" s="58"/>
      <c r="AB83" s="58"/>
      <c r="AC83" s="31" t="str">
        <f t="shared" si="24"/>
        <v/>
      </c>
      <c r="AE83" s="58"/>
      <c r="AF83" s="58"/>
      <c r="AG83" s="31" t="str">
        <f t="shared" si="25"/>
        <v/>
      </c>
      <c r="AI83" s="58"/>
      <c r="AJ83" s="58"/>
      <c r="AK83" s="31" t="str">
        <f t="shared" si="16"/>
        <v/>
      </c>
    </row>
    <row r="84" spans="1:37" x14ac:dyDescent="0.2">
      <c r="A84" s="52" t="b">
        <f t="shared" ca="1" si="17"/>
        <v>0</v>
      </c>
      <c r="C84" s="58"/>
      <c r="D84" s="58"/>
      <c r="E84" s="31" t="str">
        <f t="shared" si="18"/>
        <v/>
      </c>
      <c r="G84" s="58"/>
      <c r="H84" s="58"/>
      <c r="I84" s="31" t="str">
        <f t="shared" si="19"/>
        <v/>
      </c>
      <c r="K84" s="58"/>
      <c r="L84" s="58"/>
      <c r="M84" s="31" t="str">
        <f t="shared" si="20"/>
        <v/>
      </c>
      <c r="O84" s="58"/>
      <c r="P84" s="58"/>
      <c r="Q84" s="31" t="str">
        <f t="shared" si="21"/>
        <v/>
      </c>
      <c r="S84" s="58"/>
      <c r="T84" s="58"/>
      <c r="U84" s="31" t="str">
        <f t="shared" si="22"/>
        <v/>
      </c>
      <c r="W84" s="58"/>
      <c r="X84" s="58"/>
      <c r="Y84" s="31" t="str">
        <f t="shared" si="23"/>
        <v/>
      </c>
      <c r="AA84" s="58"/>
      <c r="AB84" s="58"/>
      <c r="AC84" s="31" t="str">
        <f t="shared" si="24"/>
        <v/>
      </c>
      <c r="AE84" s="58"/>
      <c r="AF84" s="58"/>
      <c r="AG84" s="31" t="str">
        <f t="shared" si="25"/>
        <v/>
      </c>
      <c r="AI84" s="58"/>
      <c r="AJ84" s="58"/>
      <c r="AK84" s="31" t="str">
        <f t="shared" si="16"/>
        <v/>
      </c>
    </row>
    <row r="85" spans="1:37" x14ac:dyDescent="0.2">
      <c r="A85" s="52" t="b">
        <f t="shared" ca="1" si="17"/>
        <v>0</v>
      </c>
      <c r="C85" s="58"/>
      <c r="D85" s="58"/>
      <c r="E85" s="31" t="str">
        <f t="shared" si="18"/>
        <v/>
      </c>
      <c r="G85" s="58"/>
      <c r="H85" s="58"/>
      <c r="I85" s="31" t="str">
        <f t="shared" si="19"/>
        <v/>
      </c>
      <c r="K85" s="58"/>
      <c r="L85" s="58"/>
      <c r="M85" s="31" t="str">
        <f t="shared" si="20"/>
        <v/>
      </c>
      <c r="O85" s="58"/>
      <c r="P85" s="58"/>
      <c r="Q85" s="31" t="str">
        <f t="shared" si="21"/>
        <v/>
      </c>
      <c r="S85" s="58"/>
      <c r="T85" s="58"/>
      <c r="U85" s="31" t="str">
        <f t="shared" si="22"/>
        <v/>
      </c>
      <c r="W85" s="58"/>
      <c r="X85" s="58"/>
      <c r="Y85" s="31" t="str">
        <f t="shared" si="23"/>
        <v/>
      </c>
      <c r="AA85" s="58"/>
      <c r="AB85" s="58"/>
      <c r="AC85" s="31" t="str">
        <f t="shared" si="24"/>
        <v/>
      </c>
      <c r="AE85" s="58"/>
      <c r="AF85" s="58"/>
      <c r="AG85" s="31" t="str">
        <f t="shared" si="25"/>
        <v/>
      </c>
      <c r="AI85" s="58"/>
      <c r="AJ85" s="58"/>
      <c r="AK85" s="31" t="str">
        <f t="shared" si="16"/>
        <v/>
      </c>
    </row>
    <row r="86" spans="1:37" x14ac:dyDescent="0.2">
      <c r="A86" s="52" t="b">
        <f t="shared" ca="1" si="17"/>
        <v>0</v>
      </c>
      <c r="C86" s="58"/>
      <c r="D86" s="58"/>
      <c r="E86" s="31" t="str">
        <f t="shared" si="18"/>
        <v/>
      </c>
      <c r="G86" s="58"/>
      <c r="H86" s="58"/>
      <c r="I86" s="31" t="str">
        <f t="shared" si="19"/>
        <v/>
      </c>
      <c r="K86" s="58"/>
      <c r="L86" s="58"/>
      <c r="M86" s="31" t="str">
        <f t="shared" si="20"/>
        <v/>
      </c>
      <c r="O86" s="58"/>
      <c r="P86" s="58"/>
      <c r="Q86" s="31" t="str">
        <f t="shared" si="21"/>
        <v/>
      </c>
      <c r="S86" s="58"/>
      <c r="T86" s="58"/>
      <c r="U86" s="31" t="str">
        <f t="shared" si="22"/>
        <v/>
      </c>
      <c r="W86" s="58"/>
      <c r="X86" s="58"/>
      <c r="Y86" s="31" t="str">
        <f t="shared" si="23"/>
        <v/>
      </c>
      <c r="AA86" s="58"/>
      <c r="AB86" s="58"/>
      <c r="AC86" s="31" t="str">
        <f t="shared" si="24"/>
        <v/>
      </c>
      <c r="AE86" s="58"/>
      <c r="AF86" s="58"/>
      <c r="AG86" s="31" t="str">
        <f t="shared" si="25"/>
        <v/>
      </c>
      <c r="AI86" s="58"/>
      <c r="AJ86" s="58"/>
      <c r="AK86" s="31" t="str">
        <f t="shared" si="16"/>
        <v/>
      </c>
    </row>
    <row r="87" spans="1:37" x14ac:dyDescent="0.2">
      <c r="A87" s="52" t="b">
        <f t="shared" ca="1" si="17"/>
        <v>0</v>
      </c>
      <c r="C87" s="58"/>
      <c r="D87" s="58"/>
      <c r="E87" s="31" t="str">
        <f t="shared" si="18"/>
        <v/>
      </c>
      <c r="G87" s="58"/>
      <c r="H87" s="58"/>
      <c r="I87" s="31" t="str">
        <f t="shared" si="19"/>
        <v/>
      </c>
      <c r="K87" s="58"/>
      <c r="L87" s="58"/>
      <c r="M87" s="31" t="str">
        <f t="shared" si="20"/>
        <v/>
      </c>
      <c r="O87" s="58"/>
      <c r="P87" s="58"/>
      <c r="Q87" s="31" t="str">
        <f t="shared" si="21"/>
        <v/>
      </c>
      <c r="S87" s="58"/>
      <c r="T87" s="58"/>
      <c r="U87" s="31" t="str">
        <f t="shared" si="22"/>
        <v/>
      </c>
      <c r="W87" s="58"/>
      <c r="X87" s="58"/>
      <c r="Y87" s="31" t="str">
        <f t="shared" si="23"/>
        <v/>
      </c>
      <c r="AA87" s="58"/>
      <c r="AB87" s="58"/>
      <c r="AC87" s="31" t="str">
        <f t="shared" si="24"/>
        <v/>
      </c>
      <c r="AE87" s="58"/>
      <c r="AF87" s="58"/>
      <c r="AG87" s="31" t="str">
        <f t="shared" si="25"/>
        <v/>
      </c>
      <c r="AI87" s="58"/>
      <c r="AJ87" s="58"/>
      <c r="AK87" s="31" t="str">
        <f t="shared" si="16"/>
        <v/>
      </c>
    </row>
    <row r="88" spans="1:37" x14ac:dyDescent="0.2">
      <c r="A88" s="52" t="b">
        <f t="shared" ca="1" si="17"/>
        <v>0</v>
      </c>
      <c r="C88" s="58"/>
      <c r="D88" s="58"/>
      <c r="E88" s="31" t="str">
        <f t="shared" si="18"/>
        <v/>
      </c>
      <c r="G88" s="58"/>
      <c r="H88" s="58"/>
      <c r="I88" s="31" t="str">
        <f t="shared" si="19"/>
        <v/>
      </c>
      <c r="K88" s="58"/>
      <c r="L88" s="58"/>
      <c r="M88" s="31" t="str">
        <f t="shared" si="20"/>
        <v/>
      </c>
      <c r="O88" s="58"/>
      <c r="P88" s="58"/>
      <c r="Q88" s="31" t="str">
        <f t="shared" si="21"/>
        <v/>
      </c>
      <c r="S88" s="58"/>
      <c r="T88" s="58"/>
      <c r="U88" s="31" t="str">
        <f t="shared" si="22"/>
        <v/>
      </c>
      <c r="W88" s="58"/>
      <c r="X88" s="58"/>
      <c r="Y88" s="31" t="str">
        <f t="shared" si="23"/>
        <v/>
      </c>
      <c r="AA88" s="58"/>
      <c r="AB88" s="58"/>
      <c r="AC88" s="31" t="str">
        <f t="shared" si="24"/>
        <v/>
      </c>
      <c r="AE88" s="58"/>
      <c r="AF88" s="58"/>
      <c r="AG88" s="31" t="str">
        <f t="shared" si="25"/>
        <v/>
      </c>
      <c r="AI88" s="58"/>
      <c r="AJ88" s="58"/>
      <c r="AK88" s="31" t="str">
        <f t="shared" si="16"/>
        <v/>
      </c>
    </row>
    <row r="89" spans="1:37" x14ac:dyDescent="0.2">
      <c r="A89" s="52" t="b">
        <f t="shared" ca="1" si="17"/>
        <v>0</v>
      </c>
      <c r="C89" s="58"/>
      <c r="D89" s="58"/>
      <c r="E89" s="31" t="str">
        <f t="shared" si="18"/>
        <v/>
      </c>
      <c r="G89" s="58"/>
      <c r="H89" s="58"/>
      <c r="I89" s="31" t="str">
        <f t="shared" si="19"/>
        <v/>
      </c>
      <c r="K89" s="58"/>
      <c r="L89" s="58"/>
      <c r="M89" s="31" t="str">
        <f t="shared" si="20"/>
        <v/>
      </c>
      <c r="O89" s="58"/>
      <c r="P89" s="58"/>
      <c r="Q89" s="31" t="str">
        <f t="shared" si="21"/>
        <v/>
      </c>
      <c r="S89" s="58"/>
      <c r="T89" s="58"/>
      <c r="U89" s="31" t="str">
        <f t="shared" si="22"/>
        <v/>
      </c>
      <c r="W89" s="58"/>
      <c r="X89" s="58"/>
      <c r="Y89" s="31" t="str">
        <f t="shared" si="23"/>
        <v/>
      </c>
      <c r="AA89" s="58"/>
      <c r="AB89" s="58"/>
      <c r="AC89" s="31" t="str">
        <f t="shared" si="24"/>
        <v/>
      </c>
      <c r="AE89" s="58"/>
      <c r="AF89" s="58"/>
      <c r="AG89" s="31" t="str">
        <f t="shared" si="25"/>
        <v/>
      </c>
      <c r="AI89" s="58"/>
      <c r="AJ89" s="58"/>
      <c r="AK89" s="31" t="str">
        <f t="shared" si="16"/>
        <v/>
      </c>
    </row>
    <row r="90" spans="1:37" x14ac:dyDescent="0.2">
      <c r="A90" s="52" t="b">
        <f t="shared" ca="1" si="17"/>
        <v>0</v>
      </c>
      <c r="C90" s="58"/>
      <c r="D90" s="58"/>
      <c r="E90" s="31" t="str">
        <f t="shared" si="18"/>
        <v/>
      </c>
      <c r="G90" s="58"/>
      <c r="H90" s="58"/>
      <c r="I90" s="31" t="str">
        <f t="shared" si="19"/>
        <v/>
      </c>
      <c r="K90" s="58"/>
      <c r="L90" s="58"/>
      <c r="M90" s="31" t="str">
        <f t="shared" si="20"/>
        <v/>
      </c>
      <c r="O90" s="58"/>
      <c r="P90" s="58"/>
      <c r="Q90" s="31" t="str">
        <f t="shared" si="21"/>
        <v/>
      </c>
      <c r="S90" s="58"/>
      <c r="T90" s="58"/>
      <c r="U90" s="31" t="str">
        <f t="shared" si="22"/>
        <v/>
      </c>
      <c r="W90" s="58"/>
      <c r="X90" s="58"/>
      <c r="Y90" s="31" t="str">
        <f t="shared" si="23"/>
        <v/>
      </c>
      <c r="AA90" s="58"/>
      <c r="AB90" s="58"/>
      <c r="AC90" s="31" t="str">
        <f t="shared" si="24"/>
        <v/>
      </c>
      <c r="AE90" s="58"/>
      <c r="AF90" s="58"/>
      <c r="AG90" s="31" t="str">
        <f t="shared" si="25"/>
        <v/>
      </c>
      <c r="AI90" s="58"/>
      <c r="AJ90" s="58"/>
      <c r="AK90" s="31" t="str">
        <f t="shared" si="16"/>
        <v/>
      </c>
    </row>
    <row r="91" spans="1:37" x14ac:dyDescent="0.2">
      <c r="A91" s="52" t="b">
        <f t="shared" ca="1" si="17"/>
        <v>0</v>
      </c>
      <c r="C91" s="58"/>
      <c r="D91" s="58"/>
      <c r="E91" s="31" t="str">
        <f t="shared" si="18"/>
        <v/>
      </c>
      <c r="G91" s="58"/>
      <c r="H91" s="58"/>
      <c r="I91" s="31" t="str">
        <f t="shared" si="19"/>
        <v/>
      </c>
      <c r="K91" s="58"/>
      <c r="L91" s="58"/>
      <c r="M91" s="31" t="str">
        <f t="shared" si="20"/>
        <v/>
      </c>
      <c r="O91" s="58"/>
      <c r="P91" s="58"/>
      <c r="Q91" s="31" t="str">
        <f t="shared" si="21"/>
        <v/>
      </c>
      <c r="S91" s="58"/>
      <c r="T91" s="58"/>
      <c r="U91" s="31" t="str">
        <f t="shared" si="22"/>
        <v/>
      </c>
      <c r="W91" s="58"/>
      <c r="X91" s="58"/>
      <c r="Y91" s="31" t="str">
        <f t="shared" si="23"/>
        <v/>
      </c>
      <c r="AA91" s="58"/>
      <c r="AB91" s="58"/>
      <c r="AC91" s="31" t="str">
        <f t="shared" si="24"/>
        <v/>
      </c>
      <c r="AE91" s="58"/>
      <c r="AF91" s="58"/>
      <c r="AG91" s="31" t="str">
        <f t="shared" si="25"/>
        <v/>
      </c>
      <c r="AI91" s="58"/>
      <c r="AJ91" s="58"/>
      <c r="AK91" s="31" t="str">
        <f t="shared" si="16"/>
        <v/>
      </c>
    </row>
    <row r="92" spans="1:37" x14ac:dyDescent="0.2">
      <c r="A92" s="52" t="b">
        <f t="shared" ca="1" si="17"/>
        <v>0</v>
      </c>
      <c r="C92" s="58"/>
      <c r="D92" s="58"/>
      <c r="E92" s="31" t="str">
        <f t="shared" si="18"/>
        <v/>
      </c>
      <c r="G92" s="58"/>
      <c r="H92" s="58"/>
      <c r="I92" s="31" t="str">
        <f t="shared" si="19"/>
        <v/>
      </c>
      <c r="K92" s="58"/>
      <c r="L92" s="58"/>
      <c r="M92" s="31" t="str">
        <f t="shared" si="20"/>
        <v/>
      </c>
      <c r="O92" s="58"/>
      <c r="P92" s="58"/>
      <c r="Q92" s="31" t="str">
        <f t="shared" si="21"/>
        <v/>
      </c>
      <c r="S92" s="58"/>
      <c r="T92" s="58"/>
      <c r="U92" s="31" t="str">
        <f t="shared" si="22"/>
        <v/>
      </c>
      <c r="W92" s="58"/>
      <c r="X92" s="58"/>
      <c r="Y92" s="31" t="str">
        <f t="shared" si="23"/>
        <v/>
      </c>
      <c r="AA92" s="58"/>
      <c r="AB92" s="58"/>
      <c r="AC92" s="31" t="str">
        <f t="shared" si="24"/>
        <v/>
      </c>
      <c r="AE92" s="58"/>
      <c r="AF92" s="58"/>
      <c r="AG92" s="31" t="str">
        <f t="shared" si="25"/>
        <v/>
      </c>
      <c r="AI92" s="58"/>
      <c r="AJ92" s="58"/>
      <c r="AK92" s="31" t="str">
        <f t="shared" si="16"/>
        <v/>
      </c>
    </row>
    <row r="93" spans="1:37" x14ac:dyDescent="0.2">
      <c r="A93" s="52" t="b">
        <f t="shared" ca="1" si="17"/>
        <v>0</v>
      </c>
      <c r="C93" s="58"/>
      <c r="D93" s="58"/>
      <c r="E93" s="31" t="str">
        <f t="shared" si="18"/>
        <v/>
      </c>
      <c r="G93" s="58"/>
      <c r="H93" s="58"/>
      <c r="I93" s="31" t="str">
        <f t="shared" si="19"/>
        <v/>
      </c>
      <c r="K93" s="58"/>
      <c r="L93" s="58"/>
      <c r="M93" s="31" t="str">
        <f t="shared" si="20"/>
        <v/>
      </c>
      <c r="O93" s="58"/>
      <c r="P93" s="58"/>
      <c r="Q93" s="31" t="str">
        <f t="shared" si="21"/>
        <v/>
      </c>
      <c r="S93" s="58"/>
      <c r="T93" s="58"/>
      <c r="U93" s="31" t="str">
        <f t="shared" si="22"/>
        <v/>
      </c>
      <c r="W93" s="58"/>
      <c r="X93" s="58"/>
      <c r="Y93" s="31" t="str">
        <f t="shared" si="23"/>
        <v/>
      </c>
      <c r="AA93" s="58"/>
      <c r="AB93" s="58"/>
      <c r="AC93" s="31" t="str">
        <f t="shared" si="24"/>
        <v/>
      </c>
      <c r="AE93" s="58"/>
      <c r="AF93" s="58"/>
      <c r="AG93" s="31" t="str">
        <f t="shared" si="25"/>
        <v/>
      </c>
      <c r="AI93" s="58"/>
      <c r="AJ93" s="58"/>
      <c r="AK93" s="31" t="str">
        <f t="shared" si="16"/>
        <v/>
      </c>
    </row>
    <row r="94" spans="1:37" x14ac:dyDescent="0.2">
      <c r="A94" s="52" t="b">
        <f t="shared" ca="1" si="17"/>
        <v>0</v>
      </c>
      <c r="C94" s="58"/>
      <c r="D94" s="58"/>
      <c r="E94" s="31" t="str">
        <f t="shared" si="18"/>
        <v/>
      </c>
      <c r="G94" s="58"/>
      <c r="H94" s="58"/>
      <c r="I94" s="31" t="str">
        <f t="shared" si="19"/>
        <v/>
      </c>
      <c r="K94" s="58"/>
      <c r="L94" s="58"/>
      <c r="M94" s="31" t="str">
        <f t="shared" si="20"/>
        <v/>
      </c>
      <c r="O94" s="58"/>
      <c r="P94" s="58"/>
      <c r="Q94" s="31" t="str">
        <f t="shared" si="21"/>
        <v/>
      </c>
      <c r="S94" s="58"/>
      <c r="T94" s="58"/>
      <c r="U94" s="31" t="str">
        <f t="shared" si="22"/>
        <v/>
      </c>
      <c r="W94" s="58"/>
      <c r="X94" s="58"/>
      <c r="Y94" s="31" t="str">
        <f t="shared" si="23"/>
        <v/>
      </c>
      <c r="AA94" s="58"/>
      <c r="AB94" s="58"/>
      <c r="AC94" s="31" t="str">
        <f t="shared" si="24"/>
        <v/>
      </c>
      <c r="AE94" s="58"/>
      <c r="AF94" s="58"/>
      <c r="AG94" s="31" t="str">
        <f t="shared" si="25"/>
        <v/>
      </c>
      <c r="AI94" s="58"/>
      <c r="AJ94" s="58"/>
      <c r="AK94" s="31" t="str">
        <f t="shared" si="16"/>
        <v/>
      </c>
    </row>
    <row r="95" spans="1:37" x14ac:dyDescent="0.2">
      <c r="A95" s="52" t="b">
        <f t="shared" ca="1" si="17"/>
        <v>0</v>
      </c>
      <c r="C95" s="58"/>
      <c r="D95" s="58"/>
      <c r="E95" s="31" t="str">
        <f t="shared" si="18"/>
        <v/>
      </c>
      <c r="G95" s="58"/>
      <c r="H95" s="58"/>
      <c r="I95" s="31" t="str">
        <f t="shared" si="19"/>
        <v/>
      </c>
      <c r="K95" s="58"/>
      <c r="L95" s="58"/>
      <c r="M95" s="31" t="str">
        <f t="shared" si="20"/>
        <v/>
      </c>
      <c r="O95" s="58"/>
      <c r="P95" s="58"/>
      <c r="Q95" s="31" t="str">
        <f t="shared" si="21"/>
        <v/>
      </c>
      <c r="S95" s="58"/>
      <c r="T95" s="58"/>
      <c r="U95" s="31" t="str">
        <f t="shared" si="22"/>
        <v/>
      </c>
      <c r="W95" s="58"/>
      <c r="X95" s="58"/>
      <c r="Y95" s="31" t="str">
        <f t="shared" si="23"/>
        <v/>
      </c>
      <c r="AA95" s="58"/>
      <c r="AB95" s="58"/>
      <c r="AC95" s="31" t="str">
        <f t="shared" si="24"/>
        <v/>
      </c>
      <c r="AE95" s="58"/>
      <c r="AF95" s="58"/>
      <c r="AG95" s="31" t="str">
        <f t="shared" si="25"/>
        <v/>
      </c>
      <c r="AI95" s="58"/>
      <c r="AJ95" s="58"/>
      <c r="AK95" s="31" t="str">
        <f t="shared" si="16"/>
        <v/>
      </c>
    </row>
    <row r="96" spans="1:37" x14ac:dyDescent="0.2">
      <c r="A96" s="52" t="b">
        <f t="shared" ca="1" si="17"/>
        <v>0</v>
      </c>
      <c r="C96" s="58"/>
      <c r="D96" s="58"/>
      <c r="E96" s="31" t="str">
        <f t="shared" si="18"/>
        <v/>
      </c>
      <c r="G96" s="58"/>
      <c r="H96" s="58"/>
      <c r="I96" s="31" t="str">
        <f t="shared" si="19"/>
        <v/>
      </c>
      <c r="K96" s="58"/>
      <c r="L96" s="58"/>
      <c r="M96" s="31" t="str">
        <f t="shared" si="20"/>
        <v/>
      </c>
      <c r="O96" s="58"/>
      <c r="P96" s="58"/>
      <c r="Q96" s="31" t="str">
        <f t="shared" si="21"/>
        <v/>
      </c>
      <c r="S96" s="58"/>
      <c r="T96" s="58"/>
      <c r="U96" s="31" t="str">
        <f t="shared" si="22"/>
        <v/>
      </c>
      <c r="W96" s="58"/>
      <c r="X96" s="58"/>
      <c r="Y96" s="31" t="str">
        <f t="shared" si="23"/>
        <v/>
      </c>
      <c r="AA96" s="58"/>
      <c r="AB96" s="58"/>
      <c r="AC96" s="31" t="str">
        <f t="shared" si="24"/>
        <v/>
      </c>
      <c r="AE96" s="58"/>
      <c r="AF96" s="58"/>
      <c r="AG96" s="31" t="str">
        <f t="shared" si="25"/>
        <v/>
      </c>
      <c r="AI96" s="58"/>
      <c r="AJ96" s="58"/>
      <c r="AK96" s="31" t="str">
        <f t="shared" si="16"/>
        <v/>
      </c>
    </row>
    <row r="97" spans="1:37" x14ac:dyDescent="0.2">
      <c r="A97" s="52" t="b">
        <f t="shared" ca="1" si="17"/>
        <v>0</v>
      </c>
      <c r="C97" s="58"/>
      <c r="D97" s="58"/>
      <c r="E97" s="31" t="str">
        <f t="shared" si="18"/>
        <v/>
      </c>
      <c r="G97" s="58"/>
      <c r="H97" s="58"/>
      <c r="I97" s="31" t="str">
        <f t="shared" si="19"/>
        <v/>
      </c>
      <c r="K97" s="58"/>
      <c r="L97" s="58"/>
      <c r="M97" s="31" t="str">
        <f t="shared" si="20"/>
        <v/>
      </c>
      <c r="O97" s="58"/>
      <c r="P97" s="58"/>
      <c r="Q97" s="31" t="str">
        <f t="shared" si="21"/>
        <v/>
      </c>
      <c r="S97" s="58"/>
      <c r="T97" s="58"/>
      <c r="U97" s="31" t="str">
        <f t="shared" si="22"/>
        <v/>
      </c>
      <c r="W97" s="58"/>
      <c r="X97" s="58"/>
      <c r="Y97" s="31" t="str">
        <f t="shared" si="23"/>
        <v/>
      </c>
      <c r="AA97" s="58"/>
      <c r="AB97" s="58"/>
      <c r="AC97" s="31" t="str">
        <f t="shared" si="24"/>
        <v/>
      </c>
      <c r="AE97" s="58"/>
      <c r="AF97" s="58"/>
      <c r="AG97" s="31" t="str">
        <f t="shared" si="25"/>
        <v/>
      </c>
      <c r="AI97" s="58"/>
      <c r="AJ97" s="58"/>
      <c r="AK97" s="31" t="str">
        <f t="shared" si="16"/>
        <v/>
      </c>
    </row>
    <row r="98" spans="1:37" x14ac:dyDescent="0.2">
      <c r="A98" s="52" t="b">
        <f t="shared" ca="1" si="17"/>
        <v>0</v>
      </c>
      <c r="C98" s="58"/>
      <c r="D98" s="58"/>
      <c r="E98" s="31" t="str">
        <f t="shared" ref="E98:E129" si="26">IF(C98="","",D98/VLOOKUP(u_Weight,a_Weight,2,FALSE))</f>
        <v/>
      </c>
      <c r="G98" s="58"/>
      <c r="H98" s="58"/>
      <c r="I98" s="31" t="str">
        <f t="shared" ref="I98:I129" si="27">IF(G98="","",H98/VLOOKUP(u_Distance,a_Distance,2,FALSE))</f>
        <v/>
      </c>
      <c r="K98" s="58"/>
      <c r="L98" s="58"/>
      <c r="M98" s="31" t="str">
        <f t="shared" ref="M98:M129" si="28">IF(K98="","",L98/VLOOKUP(u_Volume,a_Volume,2,FALSE))</f>
        <v/>
      </c>
      <c r="O98" s="58"/>
      <c r="P98" s="58"/>
      <c r="Q98" s="31" t="str">
        <f t="shared" ref="Q98:Q129" si="29">IF(O98="","",P98/VLOOKUP(u_Energy,a_Energy,2,FALSE))</f>
        <v/>
      </c>
      <c r="S98" s="58"/>
      <c r="T98" s="58"/>
      <c r="U98" s="31" t="str">
        <f t="shared" ref="U98:U129" si="30">IF(S98="","",T98/VLOOKUP(u_Freight,a_Freight,2,FALSE))</f>
        <v/>
      </c>
      <c r="W98" s="58"/>
      <c r="X98" s="58"/>
      <c r="Y98" s="31" t="str">
        <f t="shared" ref="Y98:Y129" si="31">IF(W98="","",X98/VLOOKUP(u_Time,a_Time,2,FALSE))</f>
        <v/>
      </c>
      <c r="AA98" s="58"/>
      <c r="AB98" s="58"/>
      <c r="AC98" s="31" t="str">
        <f t="shared" ref="AC98:AC129" si="32">IF(AA98="","",AB98/VLOOKUP(u_Area,a_Area,2,FALSE))</f>
        <v/>
      </c>
      <c r="AE98" s="58"/>
      <c r="AF98" s="58"/>
      <c r="AG98" s="31" t="str">
        <f t="shared" si="25"/>
        <v/>
      </c>
      <c r="AI98" s="58"/>
      <c r="AJ98" s="58"/>
      <c r="AK98" s="31" t="str">
        <f t="shared" si="16"/>
        <v/>
      </c>
    </row>
    <row r="99" spans="1:37" x14ac:dyDescent="0.2">
      <c r="A99" s="52" t="b">
        <f t="shared" ca="1" si="17"/>
        <v>0</v>
      </c>
      <c r="C99" s="58"/>
      <c r="D99" s="58"/>
      <c r="E99" s="31" t="str">
        <f t="shared" si="26"/>
        <v/>
      </c>
      <c r="G99" s="58"/>
      <c r="H99" s="58"/>
      <c r="I99" s="31" t="str">
        <f t="shared" si="27"/>
        <v/>
      </c>
      <c r="K99" s="58"/>
      <c r="L99" s="58"/>
      <c r="M99" s="31" t="str">
        <f t="shared" si="28"/>
        <v/>
      </c>
      <c r="O99" s="58"/>
      <c r="P99" s="58"/>
      <c r="Q99" s="31" t="str">
        <f t="shared" si="29"/>
        <v/>
      </c>
      <c r="S99" s="58"/>
      <c r="T99" s="58"/>
      <c r="U99" s="31" t="str">
        <f t="shared" si="30"/>
        <v/>
      </c>
      <c r="W99" s="58"/>
      <c r="X99" s="58"/>
      <c r="Y99" s="31" t="str">
        <f t="shared" si="31"/>
        <v/>
      </c>
      <c r="AA99" s="58"/>
      <c r="AB99" s="58"/>
      <c r="AC99" s="31" t="str">
        <f t="shared" si="32"/>
        <v/>
      </c>
      <c r="AE99" s="58"/>
      <c r="AF99" s="58"/>
      <c r="AG99" s="31" t="str">
        <f t="shared" ref="AG99:AG130" si="33">IF(AE99="","",AF99/VLOOKUP(u_Area,a_Area,2,FALSE))</f>
        <v/>
      </c>
      <c r="AI99" s="58"/>
      <c r="AJ99" s="58"/>
      <c r="AK99" s="31" t="str">
        <f t="shared" ref="AK99:AK134" si="34">IF(AI99="","",AJ99/VLOOKUP(u_Area,a_Area,2,FALSE))</f>
        <v/>
      </c>
    </row>
    <row r="100" spans="1:37" x14ac:dyDescent="0.2">
      <c r="A100" s="52" t="b">
        <f t="shared" ref="A100:A134" ca="1" si="35">(ROW()&lt;$B$31+$B$30+4)</f>
        <v>0</v>
      </c>
      <c r="C100" s="58"/>
      <c r="D100" s="58"/>
      <c r="E100" s="31" t="str">
        <f t="shared" si="26"/>
        <v/>
      </c>
      <c r="G100" s="58"/>
      <c r="H100" s="58"/>
      <c r="I100" s="31" t="str">
        <f t="shared" si="27"/>
        <v/>
      </c>
      <c r="K100" s="58"/>
      <c r="L100" s="58"/>
      <c r="M100" s="31" t="str">
        <f t="shared" si="28"/>
        <v/>
      </c>
      <c r="O100" s="58"/>
      <c r="P100" s="58"/>
      <c r="Q100" s="31" t="str">
        <f t="shared" si="29"/>
        <v/>
      </c>
      <c r="S100" s="58"/>
      <c r="T100" s="58"/>
      <c r="U100" s="31" t="str">
        <f t="shared" si="30"/>
        <v/>
      </c>
      <c r="W100" s="58"/>
      <c r="X100" s="58"/>
      <c r="Y100" s="31" t="str">
        <f t="shared" si="31"/>
        <v/>
      </c>
      <c r="AA100" s="58"/>
      <c r="AB100" s="58"/>
      <c r="AC100" s="31" t="str">
        <f t="shared" si="32"/>
        <v/>
      </c>
      <c r="AE100" s="58"/>
      <c r="AF100" s="58"/>
      <c r="AG100" s="31" t="str">
        <f t="shared" si="33"/>
        <v/>
      </c>
      <c r="AI100" s="58"/>
      <c r="AJ100" s="58"/>
      <c r="AK100" s="31" t="str">
        <f t="shared" si="34"/>
        <v/>
      </c>
    </row>
    <row r="101" spans="1:37" x14ac:dyDescent="0.2">
      <c r="A101" s="52" t="b">
        <f t="shared" ca="1" si="35"/>
        <v>0</v>
      </c>
      <c r="C101" s="58"/>
      <c r="D101" s="58"/>
      <c r="E101" s="31" t="str">
        <f t="shared" si="26"/>
        <v/>
      </c>
      <c r="G101" s="58"/>
      <c r="H101" s="58"/>
      <c r="I101" s="31" t="str">
        <f t="shared" si="27"/>
        <v/>
      </c>
      <c r="K101" s="58"/>
      <c r="L101" s="58"/>
      <c r="M101" s="31" t="str">
        <f t="shared" si="28"/>
        <v/>
      </c>
      <c r="O101" s="58"/>
      <c r="P101" s="58"/>
      <c r="Q101" s="31" t="str">
        <f t="shared" si="29"/>
        <v/>
      </c>
      <c r="S101" s="58"/>
      <c r="T101" s="58"/>
      <c r="U101" s="31" t="str">
        <f t="shared" si="30"/>
        <v/>
      </c>
      <c r="W101" s="58"/>
      <c r="X101" s="58"/>
      <c r="Y101" s="31" t="str">
        <f t="shared" si="31"/>
        <v/>
      </c>
      <c r="AA101" s="58"/>
      <c r="AB101" s="58"/>
      <c r="AC101" s="31" t="str">
        <f t="shared" si="32"/>
        <v/>
      </c>
      <c r="AE101" s="58"/>
      <c r="AF101" s="58"/>
      <c r="AG101" s="31" t="str">
        <f t="shared" si="33"/>
        <v/>
      </c>
      <c r="AI101" s="58"/>
      <c r="AJ101" s="58"/>
      <c r="AK101" s="31" t="str">
        <f t="shared" si="34"/>
        <v/>
      </c>
    </row>
    <row r="102" spans="1:37" x14ac:dyDescent="0.2">
      <c r="A102" s="52" t="b">
        <f t="shared" ca="1" si="35"/>
        <v>0</v>
      </c>
      <c r="C102" s="58"/>
      <c r="D102" s="58"/>
      <c r="E102" s="31" t="str">
        <f t="shared" si="26"/>
        <v/>
      </c>
      <c r="G102" s="58"/>
      <c r="H102" s="58"/>
      <c r="I102" s="31" t="str">
        <f t="shared" si="27"/>
        <v/>
      </c>
      <c r="K102" s="58"/>
      <c r="L102" s="58"/>
      <c r="M102" s="31" t="str">
        <f t="shared" si="28"/>
        <v/>
      </c>
      <c r="O102" s="58"/>
      <c r="P102" s="58"/>
      <c r="Q102" s="31" t="str">
        <f t="shared" si="29"/>
        <v/>
      </c>
      <c r="S102" s="58"/>
      <c r="T102" s="58"/>
      <c r="U102" s="31" t="str">
        <f t="shared" si="30"/>
        <v/>
      </c>
      <c r="W102" s="58"/>
      <c r="X102" s="58"/>
      <c r="Y102" s="31" t="str">
        <f t="shared" si="31"/>
        <v/>
      </c>
      <c r="AA102" s="58"/>
      <c r="AB102" s="58"/>
      <c r="AC102" s="31" t="str">
        <f t="shared" si="32"/>
        <v/>
      </c>
      <c r="AE102" s="58"/>
      <c r="AF102" s="58"/>
      <c r="AG102" s="31" t="str">
        <f t="shared" si="33"/>
        <v/>
      </c>
      <c r="AI102" s="58"/>
      <c r="AJ102" s="58"/>
      <c r="AK102" s="31" t="str">
        <f t="shared" si="34"/>
        <v/>
      </c>
    </row>
    <row r="103" spans="1:37" x14ac:dyDescent="0.2">
      <c r="A103" s="52" t="b">
        <f t="shared" ca="1" si="35"/>
        <v>0</v>
      </c>
      <c r="C103" s="58"/>
      <c r="D103" s="58"/>
      <c r="E103" s="31" t="str">
        <f t="shared" si="26"/>
        <v/>
      </c>
      <c r="G103" s="58"/>
      <c r="H103" s="58"/>
      <c r="I103" s="31" t="str">
        <f t="shared" si="27"/>
        <v/>
      </c>
      <c r="K103" s="58"/>
      <c r="L103" s="58"/>
      <c r="M103" s="31" t="str">
        <f t="shared" si="28"/>
        <v/>
      </c>
      <c r="O103" s="58"/>
      <c r="P103" s="58"/>
      <c r="Q103" s="31" t="str">
        <f t="shared" si="29"/>
        <v/>
      </c>
      <c r="S103" s="58"/>
      <c r="T103" s="58"/>
      <c r="U103" s="31" t="str">
        <f t="shared" si="30"/>
        <v/>
      </c>
      <c r="W103" s="58"/>
      <c r="X103" s="58"/>
      <c r="Y103" s="31" t="str">
        <f t="shared" si="31"/>
        <v/>
      </c>
      <c r="AA103" s="58"/>
      <c r="AB103" s="58"/>
      <c r="AC103" s="31" t="str">
        <f t="shared" si="32"/>
        <v/>
      </c>
      <c r="AE103" s="58"/>
      <c r="AF103" s="58"/>
      <c r="AG103" s="31" t="str">
        <f t="shared" si="33"/>
        <v/>
      </c>
      <c r="AI103" s="58"/>
      <c r="AJ103" s="58"/>
      <c r="AK103" s="31" t="str">
        <f t="shared" si="34"/>
        <v/>
      </c>
    </row>
    <row r="104" spans="1:37" x14ac:dyDescent="0.2">
      <c r="A104" s="52" t="b">
        <f t="shared" ca="1" si="35"/>
        <v>0</v>
      </c>
      <c r="C104" s="58"/>
      <c r="D104" s="58"/>
      <c r="E104" s="31" t="str">
        <f t="shared" si="26"/>
        <v/>
      </c>
      <c r="G104" s="58"/>
      <c r="H104" s="58"/>
      <c r="I104" s="31" t="str">
        <f t="shared" si="27"/>
        <v/>
      </c>
      <c r="K104" s="58"/>
      <c r="L104" s="58"/>
      <c r="M104" s="31" t="str">
        <f t="shared" si="28"/>
        <v/>
      </c>
      <c r="O104" s="58"/>
      <c r="P104" s="58"/>
      <c r="Q104" s="31" t="str">
        <f t="shared" si="29"/>
        <v/>
      </c>
      <c r="S104" s="58"/>
      <c r="T104" s="58"/>
      <c r="U104" s="31" t="str">
        <f t="shared" si="30"/>
        <v/>
      </c>
      <c r="W104" s="58"/>
      <c r="X104" s="58"/>
      <c r="Y104" s="31" t="str">
        <f t="shared" si="31"/>
        <v/>
      </c>
      <c r="AA104" s="58"/>
      <c r="AB104" s="58"/>
      <c r="AC104" s="31" t="str">
        <f t="shared" si="32"/>
        <v/>
      </c>
      <c r="AE104" s="58"/>
      <c r="AF104" s="58"/>
      <c r="AG104" s="31" t="str">
        <f t="shared" si="33"/>
        <v/>
      </c>
      <c r="AI104" s="58"/>
      <c r="AJ104" s="58"/>
      <c r="AK104" s="31" t="str">
        <f t="shared" si="34"/>
        <v/>
      </c>
    </row>
    <row r="105" spans="1:37" x14ac:dyDescent="0.2">
      <c r="A105" s="52" t="b">
        <f t="shared" ca="1" si="35"/>
        <v>0</v>
      </c>
      <c r="C105" s="58"/>
      <c r="D105" s="58"/>
      <c r="E105" s="31" t="str">
        <f t="shared" si="26"/>
        <v/>
      </c>
      <c r="G105" s="58"/>
      <c r="H105" s="58"/>
      <c r="I105" s="31" t="str">
        <f t="shared" si="27"/>
        <v/>
      </c>
      <c r="K105" s="58"/>
      <c r="L105" s="58"/>
      <c r="M105" s="31" t="str">
        <f t="shared" si="28"/>
        <v/>
      </c>
      <c r="O105" s="58"/>
      <c r="P105" s="58"/>
      <c r="Q105" s="31" t="str">
        <f t="shared" si="29"/>
        <v/>
      </c>
      <c r="S105" s="58"/>
      <c r="T105" s="58"/>
      <c r="U105" s="31" t="str">
        <f t="shared" si="30"/>
        <v/>
      </c>
      <c r="W105" s="58"/>
      <c r="X105" s="58"/>
      <c r="Y105" s="31" t="str">
        <f t="shared" si="31"/>
        <v/>
      </c>
      <c r="AA105" s="58"/>
      <c r="AB105" s="58"/>
      <c r="AC105" s="31" t="str">
        <f t="shared" si="32"/>
        <v/>
      </c>
      <c r="AE105" s="58"/>
      <c r="AF105" s="58"/>
      <c r="AG105" s="31" t="str">
        <f t="shared" si="33"/>
        <v/>
      </c>
      <c r="AI105" s="58"/>
      <c r="AJ105" s="58"/>
      <c r="AK105" s="31" t="str">
        <f t="shared" si="34"/>
        <v/>
      </c>
    </row>
    <row r="106" spans="1:37" x14ac:dyDescent="0.2">
      <c r="A106" s="52" t="b">
        <f t="shared" ca="1" si="35"/>
        <v>0</v>
      </c>
      <c r="C106" s="58"/>
      <c r="D106" s="58"/>
      <c r="E106" s="31" t="str">
        <f t="shared" si="26"/>
        <v/>
      </c>
      <c r="G106" s="58"/>
      <c r="H106" s="58"/>
      <c r="I106" s="31" t="str">
        <f t="shared" si="27"/>
        <v/>
      </c>
      <c r="K106" s="58"/>
      <c r="L106" s="58"/>
      <c r="M106" s="31" t="str">
        <f t="shared" si="28"/>
        <v/>
      </c>
      <c r="O106" s="58"/>
      <c r="P106" s="58"/>
      <c r="Q106" s="31" t="str">
        <f t="shared" si="29"/>
        <v/>
      </c>
      <c r="S106" s="58"/>
      <c r="T106" s="58"/>
      <c r="U106" s="31" t="str">
        <f t="shared" si="30"/>
        <v/>
      </c>
      <c r="W106" s="58"/>
      <c r="X106" s="58"/>
      <c r="Y106" s="31" t="str">
        <f t="shared" si="31"/>
        <v/>
      </c>
      <c r="AA106" s="58"/>
      <c r="AB106" s="58"/>
      <c r="AC106" s="31" t="str">
        <f t="shared" si="32"/>
        <v/>
      </c>
      <c r="AE106" s="58"/>
      <c r="AF106" s="58"/>
      <c r="AG106" s="31" t="str">
        <f t="shared" si="33"/>
        <v/>
      </c>
      <c r="AI106" s="58"/>
      <c r="AJ106" s="58"/>
      <c r="AK106" s="31" t="str">
        <f t="shared" si="34"/>
        <v/>
      </c>
    </row>
    <row r="107" spans="1:37" x14ac:dyDescent="0.2">
      <c r="A107" s="52" t="b">
        <f t="shared" ca="1" si="35"/>
        <v>0</v>
      </c>
      <c r="C107" s="58"/>
      <c r="D107" s="58"/>
      <c r="E107" s="31" t="str">
        <f t="shared" si="26"/>
        <v/>
      </c>
      <c r="G107" s="58"/>
      <c r="H107" s="58"/>
      <c r="I107" s="31" t="str">
        <f t="shared" si="27"/>
        <v/>
      </c>
      <c r="K107" s="58"/>
      <c r="L107" s="58"/>
      <c r="M107" s="31" t="str">
        <f t="shared" si="28"/>
        <v/>
      </c>
      <c r="O107" s="58"/>
      <c r="P107" s="58"/>
      <c r="Q107" s="31" t="str">
        <f t="shared" si="29"/>
        <v/>
      </c>
      <c r="S107" s="58"/>
      <c r="T107" s="58"/>
      <c r="U107" s="31" t="str">
        <f t="shared" si="30"/>
        <v/>
      </c>
      <c r="W107" s="58"/>
      <c r="X107" s="58"/>
      <c r="Y107" s="31" t="str">
        <f t="shared" si="31"/>
        <v/>
      </c>
      <c r="AA107" s="58"/>
      <c r="AB107" s="58"/>
      <c r="AC107" s="31" t="str">
        <f t="shared" si="32"/>
        <v/>
      </c>
      <c r="AE107" s="58"/>
      <c r="AF107" s="58"/>
      <c r="AG107" s="31" t="str">
        <f t="shared" si="33"/>
        <v/>
      </c>
      <c r="AI107" s="58"/>
      <c r="AJ107" s="58"/>
      <c r="AK107" s="31" t="str">
        <f t="shared" si="34"/>
        <v/>
      </c>
    </row>
    <row r="108" spans="1:37" x14ac:dyDescent="0.2">
      <c r="A108" s="52" t="b">
        <f t="shared" ca="1" si="35"/>
        <v>0</v>
      </c>
      <c r="C108" s="58"/>
      <c r="D108" s="58"/>
      <c r="E108" s="31" t="str">
        <f t="shared" si="26"/>
        <v/>
      </c>
      <c r="G108" s="58"/>
      <c r="H108" s="58"/>
      <c r="I108" s="31" t="str">
        <f t="shared" si="27"/>
        <v/>
      </c>
      <c r="K108" s="58"/>
      <c r="L108" s="58"/>
      <c r="M108" s="31" t="str">
        <f t="shared" si="28"/>
        <v/>
      </c>
      <c r="O108" s="58"/>
      <c r="P108" s="58"/>
      <c r="Q108" s="31" t="str">
        <f t="shared" si="29"/>
        <v/>
      </c>
      <c r="S108" s="58"/>
      <c r="T108" s="58"/>
      <c r="U108" s="31" t="str">
        <f t="shared" si="30"/>
        <v/>
      </c>
      <c r="W108" s="58"/>
      <c r="X108" s="58"/>
      <c r="Y108" s="31" t="str">
        <f t="shared" si="31"/>
        <v/>
      </c>
      <c r="AA108" s="58"/>
      <c r="AB108" s="58"/>
      <c r="AC108" s="31" t="str">
        <f t="shared" si="32"/>
        <v/>
      </c>
      <c r="AE108" s="58"/>
      <c r="AF108" s="58"/>
      <c r="AG108" s="31" t="str">
        <f t="shared" si="33"/>
        <v/>
      </c>
      <c r="AI108" s="58"/>
      <c r="AJ108" s="58"/>
      <c r="AK108" s="31" t="str">
        <f t="shared" si="34"/>
        <v/>
      </c>
    </row>
    <row r="109" spans="1:37" x14ac:dyDescent="0.2">
      <c r="A109" s="52" t="b">
        <f t="shared" ca="1" si="35"/>
        <v>0</v>
      </c>
      <c r="C109" s="58"/>
      <c r="D109" s="58"/>
      <c r="E109" s="31" t="str">
        <f t="shared" si="26"/>
        <v/>
      </c>
      <c r="G109" s="58"/>
      <c r="H109" s="58"/>
      <c r="I109" s="31" t="str">
        <f t="shared" si="27"/>
        <v/>
      </c>
      <c r="K109" s="58"/>
      <c r="L109" s="58"/>
      <c r="M109" s="31" t="str">
        <f t="shared" si="28"/>
        <v/>
      </c>
      <c r="O109" s="58"/>
      <c r="P109" s="58"/>
      <c r="Q109" s="31" t="str">
        <f t="shared" si="29"/>
        <v/>
      </c>
      <c r="S109" s="58"/>
      <c r="T109" s="58"/>
      <c r="U109" s="31" t="str">
        <f t="shared" si="30"/>
        <v/>
      </c>
      <c r="W109" s="58"/>
      <c r="X109" s="58"/>
      <c r="Y109" s="31" t="str">
        <f t="shared" si="31"/>
        <v/>
      </c>
      <c r="AA109" s="58"/>
      <c r="AB109" s="58"/>
      <c r="AC109" s="31" t="str">
        <f t="shared" si="32"/>
        <v/>
      </c>
      <c r="AE109" s="58"/>
      <c r="AF109" s="58"/>
      <c r="AG109" s="31" t="str">
        <f t="shared" si="33"/>
        <v/>
      </c>
      <c r="AI109" s="58"/>
      <c r="AJ109" s="58"/>
      <c r="AK109" s="31" t="str">
        <f t="shared" si="34"/>
        <v/>
      </c>
    </row>
    <row r="110" spans="1:37" x14ac:dyDescent="0.2">
      <c r="A110" s="52" t="b">
        <f t="shared" ca="1" si="35"/>
        <v>0</v>
      </c>
      <c r="C110" s="58"/>
      <c r="D110" s="58"/>
      <c r="E110" s="31" t="str">
        <f t="shared" si="26"/>
        <v/>
      </c>
      <c r="G110" s="58"/>
      <c r="H110" s="58"/>
      <c r="I110" s="31" t="str">
        <f t="shared" si="27"/>
        <v/>
      </c>
      <c r="K110" s="58"/>
      <c r="L110" s="58"/>
      <c r="M110" s="31" t="str">
        <f t="shared" si="28"/>
        <v/>
      </c>
      <c r="O110" s="58"/>
      <c r="P110" s="58"/>
      <c r="Q110" s="31" t="str">
        <f t="shared" si="29"/>
        <v/>
      </c>
      <c r="S110" s="58"/>
      <c r="T110" s="58"/>
      <c r="U110" s="31" t="str">
        <f t="shared" si="30"/>
        <v/>
      </c>
      <c r="W110" s="58"/>
      <c r="X110" s="58"/>
      <c r="Y110" s="31" t="str">
        <f t="shared" si="31"/>
        <v/>
      </c>
      <c r="AA110" s="58"/>
      <c r="AB110" s="58"/>
      <c r="AC110" s="31" t="str">
        <f t="shared" si="32"/>
        <v/>
      </c>
      <c r="AE110" s="58"/>
      <c r="AF110" s="58"/>
      <c r="AG110" s="31" t="str">
        <f t="shared" si="33"/>
        <v/>
      </c>
      <c r="AI110" s="58"/>
      <c r="AJ110" s="58"/>
      <c r="AK110" s="31" t="str">
        <f t="shared" si="34"/>
        <v/>
      </c>
    </row>
    <row r="111" spans="1:37" x14ac:dyDescent="0.2">
      <c r="A111" s="52" t="b">
        <f t="shared" ca="1" si="35"/>
        <v>0</v>
      </c>
      <c r="C111" s="58"/>
      <c r="D111" s="58"/>
      <c r="E111" s="31" t="str">
        <f t="shared" si="26"/>
        <v/>
      </c>
      <c r="G111" s="58"/>
      <c r="H111" s="58"/>
      <c r="I111" s="31" t="str">
        <f t="shared" si="27"/>
        <v/>
      </c>
      <c r="K111" s="58"/>
      <c r="L111" s="58"/>
      <c r="M111" s="31" t="str">
        <f t="shared" si="28"/>
        <v/>
      </c>
      <c r="O111" s="58"/>
      <c r="P111" s="58"/>
      <c r="Q111" s="31" t="str">
        <f t="shared" si="29"/>
        <v/>
      </c>
      <c r="S111" s="58"/>
      <c r="T111" s="58"/>
      <c r="U111" s="31" t="str">
        <f t="shared" si="30"/>
        <v/>
      </c>
      <c r="W111" s="58"/>
      <c r="X111" s="58"/>
      <c r="Y111" s="31" t="str">
        <f t="shared" si="31"/>
        <v/>
      </c>
      <c r="AA111" s="58"/>
      <c r="AB111" s="58"/>
      <c r="AC111" s="31" t="str">
        <f t="shared" si="32"/>
        <v/>
      </c>
      <c r="AE111" s="58"/>
      <c r="AF111" s="58"/>
      <c r="AG111" s="31" t="str">
        <f t="shared" si="33"/>
        <v/>
      </c>
      <c r="AI111" s="58"/>
      <c r="AJ111" s="58"/>
      <c r="AK111" s="31" t="str">
        <f t="shared" si="34"/>
        <v/>
      </c>
    </row>
    <row r="112" spans="1:37" x14ac:dyDescent="0.2">
      <c r="A112" s="52" t="b">
        <f t="shared" ca="1" si="35"/>
        <v>0</v>
      </c>
      <c r="C112" s="58"/>
      <c r="D112" s="58"/>
      <c r="E112" s="31" t="str">
        <f t="shared" si="26"/>
        <v/>
      </c>
      <c r="G112" s="58"/>
      <c r="H112" s="58"/>
      <c r="I112" s="31" t="str">
        <f t="shared" si="27"/>
        <v/>
      </c>
      <c r="K112" s="58"/>
      <c r="L112" s="58"/>
      <c r="M112" s="31" t="str">
        <f t="shared" si="28"/>
        <v/>
      </c>
      <c r="O112" s="58"/>
      <c r="P112" s="58"/>
      <c r="Q112" s="31" t="str">
        <f t="shared" si="29"/>
        <v/>
      </c>
      <c r="S112" s="58"/>
      <c r="T112" s="58"/>
      <c r="U112" s="31" t="str">
        <f t="shared" si="30"/>
        <v/>
      </c>
      <c r="W112" s="58"/>
      <c r="X112" s="58"/>
      <c r="Y112" s="31" t="str">
        <f t="shared" si="31"/>
        <v/>
      </c>
      <c r="AA112" s="58"/>
      <c r="AB112" s="58"/>
      <c r="AC112" s="31" t="str">
        <f t="shared" si="32"/>
        <v/>
      </c>
      <c r="AE112" s="58"/>
      <c r="AF112" s="58"/>
      <c r="AG112" s="31" t="str">
        <f t="shared" si="33"/>
        <v/>
      </c>
      <c r="AI112" s="58"/>
      <c r="AJ112" s="58"/>
      <c r="AK112" s="31" t="str">
        <f t="shared" si="34"/>
        <v/>
      </c>
    </row>
    <row r="113" spans="1:37" x14ac:dyDescent="0.2">
      <c r="A113" s="52" t="b">
        <f t="shared" ca="1" si="35"/>
        <v>0</v>
      </c>
      <c r="C113" s="58"/>
      <c r="D113" s="58"/>
      <c r="E113" s="31" t="str">
        <f t="shared" si="26"/>
        <v/>
      </c>
      <c r="G113" s="58"/>
      <c r="H113" s="58"/>
      <c r="I113" s="31" t="str">
        <f t="shared" si="27"/>
        <v/>
      </c>
      <c r="K113" s="58"/>
      <c r="L113" s="58"/>
      <c r="M113" s="31" t="str">
        <f t="shared" si="28"/>
        <v/>
      </c>
      <c r="O113" s="58"/>
      <c r="P113" s="58"/>
      <c r="Q113" s="31" t="str">
        <f t="shared" si="29"/>
        <v/>
      </c>
      <c r="S113" s="58"/>
      <c r="T113" s="58"/>
      <c r="U113" s="31" t="str">
        <f t="shared" si="30"/>
        <v/>
      </c>
      <c r="W113" s="58"/>
      <c r="X113" s="58"/>
      <c r="Y113" s="31" t="str">
        <f t="shared" si="31"/>
        <v/>
      </c>
      <c r="AA113" s="58"/>
      <c r="AB113" s="58"/>
      <c r="AC113" s="31" t="str">
        <f t="shared" si="32"/>
        <v/>
      </c>
      <c r="AE113" s="58"/>
      <c r="AF113" s="58"/>
      <c r="AG113" s="31" t="str">
        <f t="shared" si="33"/>
        <v/>
      </c>
      <c r="AI113" s="58"/>
      <c r="AJ113" s="58"/>
      <c r="AK113" s="31" t="str">
        <f t="shared" si="34"/>
        <v/>
      </c>
    </row>
    <row r="114" spans="1:37" x14ac:dyDescent="0.2">
      <c r="A114" s="52" t="b">
        <f t="shared" ca="1" si="35"/>
        <v>0</v>
      </c>
      <c r="C114" s="58"/>
      <c r="D114" s="58"/>
      <c r="E114" s="31" t="str">
        <f t="shared" si="26"/>
        <v/>
      </c>
      <c r="G114" s="58"/>
      <c r="H114" s="58"/>
      <c r="I114" s="31" t="str">
        <f t="shared" si="27"/>
        <v/>
      </c>
      <c r="K114" s="58"/>
      <c r="L114" s="58"/>
      <c r="M114" s="31" t="str">
        <f t="shared" si="28"/>
        <v/>
      </c>
      <c r="O114" s="58"/>
      <c r="P114" s="58"/>
      <c r="Q114" s="31" t="str">
        <f t="shared" si="29"/>
        <v/>
      </c>
      <c r="S114" s="58"/>
      <c r="T114" s="58"/>
      <c r="U114" s="31" t="str">
        <f t="shared" si="30"/>
        <v/>
      </c>
      <c r="W114" s="58"/>
      <c r="X114" s="58"/>
      <c r="Y114" s="31" t="str">
        <f t="shared" si="31"/>
        <v/>
      </c>
      <c r="AA114" s="58"/>
      <c r="AB114" s="58"/>
      <c r="AC114" s="31" t="str">
        <f t="shared" si="32"/>
        <v/>
      </c>
      <c r="AE114" s="58"/>
      <c r="AF114" s="58"/>
      <c r="AG114" s="31" t="str">
        <f t="shared" si="33"/>
        <v/>
      </c>
      <c r="AI114" s="58"/>
      <c r="AJ114" s="58"/>
      <c r="AK114" s="31" t="str">
        <f t="shared" si="34"/>
        <v/>
      </c>
    </row>
    <row r="115" spans="1:37" x14ac:dyDescent="0.2">
      <c r="A115" s="52" t="b">
        <f t="shared" ca="1" si="35"/>
        <v>0</v>
      </c>
      <c r="C115" s="58"/>
      <c r="D115" s="58"/>
      <c r="E115" s="31" t="str">
        <f t="shared" si="26"/>
        <v/>
      </c>
      <c r="G115" s="58"/>
      <c r="H115" s="58"/>
      <c r="I115" s="31" t="str">
        <f t="shared" si="27"/>
        <v/>
      </c>
      <c r="K115" s="58"/>
      <c r="L115" s="58"/>
      <c r="M115" s="31" t="str">
        <f t="shared" si="28"/>
        <v/>
      </c>
      <c r="O115" s="58"/>
      <c r="P115" s="58"/>
      <c r="Q115" s="31" t="str">
        <f t="shared" si="29"/>
        <v/>
      </c>
      <c r="S115" s="58"/>
      <c r="T115" s="58"/>
      <c r="U115" s="31" t="str">
        <f t="shared" si="30"/>
        <v/>
      </c>
      <c r="W115" s="58"/>
      <c r="X115" s="58"/>
      <c r="Y115" s="31" t="str">
        <f t="shared" si="31"/>
        <v/>
      </c>
      <c r="AA115" s="58"/>
      <c r="AB115" s="58"/>
      <c r="AC115" s="31" t="str">
        <f t="shared" si="32"/>
        <v/>
      </c>
      <c r="AE115" s="58"/>
      <c r="AF115" s="58"/>
      <c r="AG115" s="31" t="str">
        <f t="shared" si="33"/>
        <v/>
      </c>
      <c r="AI115" s="58"/>
      <c r="AJ115" s="58"/>
      <c r="AK115" s="31" t="str">
        <f t="shared" si="34"/>
        <v/>
      </c>
    </row>
    <row r="116" spans="1:37" x14ac:dyDescent="0.2">
      <c r="A116" s="52" t="b">
        <f t="shared" ca="1" si="35"/>
        <v>0</v>
      </c>
      <c r="C116" s="58"/>
      <c r="D116" s="58"/>
      <c r="E116" s="31" t="str">
        <f t="shared" si="26"/>
        <v/>
      </c>
      <c r="G116" s="58"/>
      <c r="H116" s="58"/>
      <c r="I116" s="31" t="str">
        <f t="shared" si="27"/>
        <v/>
      </c>
      <c r="K116" s="58"/>
      <c r="L116" s="58"/>
      <c r="M116" s="31" t="str">
        <f t="shared" si="28"/>
        <v/>
      </c>
      <c r="O116" s="58"/>
      <c r="P116" s="58"/>
      <c r="Q116" s="31" t="str">
        <f t="shared" si="29"/>
        <v/>
      </c>
      <c r="S116" s="58"/>
      <c r="T116" s="58"/>
      <c r="U116" s="31" t="str">
        <f t="shared" si="30"/>
        <v/>
      </c>
      <c r="W116" s="58"/>
      <c r="X116" s="58"/>
      <c r="Y116" s="31" t="str">
        <f t="shared" si="31"/>
        <v/>
      </c>
      <c r="AA116" s="58"/>
      <c r="AB116" s="58"/>
      <c r="AC116" s="31" t="str">
        <f t="shared" si="32"/>
        <v/>
      </c>
      <c r="AE116" s="58"/>
      <c r="AF116" s="58"/>
      <c r="AG116" s="31" t="str">
        <f t="shared" si="33"/>
        <v/>
      </c>
      <c r="AI116" s="58"/>
      <c r="AJ116" s="58"/>
      <c r="AK116" s="31" t="str">
        <f t="shared" si="34"/>
        <v/>
      </c>
    </row>
    <row r="117" spans="1:37" x14ac:dyDescent="0.2">
      <c r="A117" s="52" t="b">
        <f t="shared" ca="1" si="35"/>
        <v>0</v>
      </c>
      <c r="C117" s="58"/>
      <c r="D117" s="58"/>
      <c r="E117" s="31" t="str">
        <f t="shared" si="26"/>
        <v/>
      </c>
      <c r="G117" s="58"/>
      <c r="H117" s="58"/>
      <c r="I117" s="31" t="str">
        <f t="shared" si="27"/>
        <v/>
      </c>
      <c r="K117" s="58"/>
      <c r="L117" s="58"/>
      <c r="M117" s="31" t="str">
        <f t="shared" si="28"/>
        <v/>
      </c>
      <c r="O117" s="58"/>
      <c r="P117" s="58"/>
      <c r="Q117" s="31" t="str">
        <f t="shared" si="29"/>
        <v/>
      </c>
      <c r="S117" s="58"/>
      <c r="T117" s="58"/>
      <c r="U117" s="31" t="str">
        <f t="shared" si="30"/>
        <v/>
      </c>
      <c r="W117" s="58"/>
      <c r="X117" s="58"/>
      <c r="Y117" s="31" t="str">
        <f t="shared" si="31"/>
        <v/>
      </c>
      <c r="AA117" s="58"/>
      <c r="AB117" s="58"/>
      <c r="AC117" s="31" t="str">
        <f t="shared" si="32"/>
        <v/>
      </c>
      <c r="AE117" s="58"/>
      <c r="AF117" s="58"/>
      <c r="AG117" s="31" t="str">
        <f t="shared" si="33"/>
        <v/>
      </c>
      <c r="AI117" s="58"/>
      <c r="AJ117" s="58"/>
      <c r="AK117" s="31" t="str">
        <f t="shared" si="34"/>
        <v/>
      </c>
    </row>
    <row r="118" spans="1:37" x14ac:dyDescent="0.2">
      <c r="A118" s="52" t="b">
        <f t="shared" ca="1" si="35"/>
        <v>0</v>
      </c>
      <c r="C118" s="58"/>
      <c r="D118" s="58"/>
      <c r="E118" s="31" t="str">
        <f t="shared" si="26"/>
        <v/>
      </c>
      <c r="G118" s="58"/>
      <c r="H118" s="58"/>
      <c r="I118" s="31" t="str">
        <f t="shared" si="27"/>
        <v/>
      </c>
      <c r="K118" s="58"/>
      <c r="L118" s="58"/>
      <c r="M118" s="31" t="str">
        <f t="shared" si="28"/>
        <v/>
      </c>
      <c r="O118" s="58"/>
      <c r="P118" s="58"/>
      <c r="Q118" s="31" t="str">
        <f t="shared" si="29"/>
        <v/>
      </c>
      <c r="S118" s="58"/>
      <c r="T118" s="58"/>
      <c r="U118" s="31" t="str">
        <f t="shared" si="30"/>
        <v/>
      </c>
      <c r="W118" s="58"/>
      <c r="X118" s="58"/>
      <c r="Y118" s="31" t="str">
        <f t="shared" si="31"/>
        <v/>
      </c>
      <c r="AA118" s="58"/>
      <c r="AB118" s="58"/>
      <c r="AC118" s="31" t="str">
        <f t="shared" si="32"/>
        <v/>
      </c>
      <c r="AE118" s="58"/>
      <c r="AF118" s="58"/>
      <c r="AG118" s="31" t="str">
        <f t="shared" si="33"/>
        <v/>
      </c>
      <c r="AI118" s="58"/>
      <c r="AJ118" s="58"/>
      <c r="AK118" s="31" t="str">
        <f t="shared" si="34"/>
        <v/>
      </c>
    </row>
    <row r="119" spans="1:37" x14ac:dyDescent="0.2">
      <c r="A119" s="52" t="b">
        <f t="shared" ca="1" si="35"/>
        <v>0</v>
      </c>
      <c r="C119" s="58"/>
      <c r="D119" s="58"/>
      <c r="E119" s="31" t="str">
        <f t="shared" si="26"/>
        <v/>
      </c>
      <c r="G119" s="58"/>
      <c r="H119" s="58"/>
      <c r="I119" s="31" t="str">
        <f t="shared" si="27"/>
        <v/>
      </c>
      <c r="K119" s="58"/>
      <c r="L119" s="58"/>
      <c r="M119" s="31" t="str">
        <f t="shared" si="28"/>
        <v/>
      </c>
      <c r="O119" s="58"/>
      <c r="P119" s="58"/>
      <c r="Q119" s="31" t="str">
        <f t="shared" si="29"/>
        <v/>
      </c>
      <c r="S119" s="58"/>
      <c r="T119" s="58"/>
      <c r="U119" s="31" t="str">
        <f t="shared" si="30"/>
        <v/>
      </c>
      <c r="W119" s="58"/>
      <c r="X119" s="58"/>
      <c r="Y119" s="31" t="str">
        <f t="shared" si="31"/>
        <v/>
      </c>
      <c r="AA119" s="58"/>
      <c r="AB119" s="58"/>
      <c r="AC119" s="31" t="str">
        <f t="shared" si="32"/>
        <v/>
      </c>
      <c r="AE119" s="58"/>
      <c r="AF119" s="58"/>
      <c r="AG119" s="31" t="str">
        <f t="shared" si="33"/>
        <v/>
      </c>
      <c r="AI119" s="58"/>
      <c r="AJ119" s="58"/>
      <c r="AK119" s="31" t="str">
        <f t="shared" si="34"/>
        <v/>
      </c>
    </row>
    <row r="120" spans="1:37" x14ac:dyDescent="0.2">
      <c r="A120" s="52" t="b">
        <f t="shared" ca="1" si="35"/>
        <v>0</v>
      </c>
      <c r="C120" s="58"/>
      <c r="D120" s="58"/>
      <c r="E120" s="31" t="str">
        <f t="shared" si="26"/>
        <v/>
      </c>
      <c r="G120" s="58"/>
      <c r="H120" s="58"/>
      <c r="I120" s="31" t="str">
        <f t="shared" si="27"/>
        <v/>
      </c>
      <c r="K120" s="58"/>
      <c r="L120" s="58"/>
      <c r="M120" s="31" t="str">
        <f t="shared" si="28"/>
        <v/>
      </c>
      <c r="O120" s="58"/>
      <c r="P120" s="58"/>
      <c r="Q120" s="31" t="str">
        <f t="shared" si="29"/>
        <v/>
      </c>
      <c r="S120" s="58"/>
      <c r="T120" s="58"/>
      <c r="U120" s="31" t="str">
        <f t="shared" si="30"/>
        <v/>
      </c>
      <c r="W120" s="58"/>
      <c r="X120" s="58"/>
      <c r="Y120" s="31" t="str">
        <f t="shared" si="31"/>
        <v/>
      </c>
      <c r="AA120" s="58"/>
      <c r="AB120" s="58"/>
      <c r="AC120" s="31" t="str">
        <f t="shared" si="32"/>
        <v/>
      </c>
      <c r="AE120" s="58"/>
      <c r="AF120" s="58"/>
      <c r="AG120" s="31" t="str">
        <f t="shared" si="33"/>
        <v/>
      </c>
      <c r="AI120" s="58"/>
      <c r="AJ120" s="58"/>
      <c r="AK120" s="31" t="str">
        <f t="shared" si="34"/>
        <v/>
      </c>
    </row>
    <row r="121" spans="1:37" x14ac:dyDescent="0.2">
      <c r="A121" s="52" t="b">
        <f t="shared" ca="1" si="35"/>
        <v>0</v>
      </c>
      <c r="C121" s="58"/>
      <c r="D121" s="58"/>
      <c r="E121" s="31" t="str">
        <f t="shared" si="26"/>
        <v/>
      </c>
      <c r="G121" s="58"/>
      <c r="H121" s="58"/>
      <c r="I121" s="31" t="str">
        <f t="shared" si="27"/>
        <v/>
      </c>
      <c r="K121" s="58"/>
      <c r="L121" s="58"/>
      <c r="M121" s="31" t="str">
        <f t="shared" si="28"/>
        <v/>
      </c>
      <c r="O121" s="58"/>
      <c r="P121" s="58"/>
      <c r="Q121" s="31" t="str">
        <f t="shared" si="29"/>
        <v/>
      </c>
      <c r="S121" s="58"/>
      <c r="T121" s="58"/>
      <c r="U121" s="31" t="str">
        <f t="shared" si="30"/>
        <v/>
      </c>
      <c r="W121" s="58"/>
      <c r="X121" s="58"/>
      <c r="Y121" s="31" t="str">
        <f t="shared" si="31"/>
        <v/>
      </c>
      <c r="AA121" s="58"/>
      <c r="AB121" s="58"/>
      <c r="AC121" s="31" t="str">
        <f t="shared" si="32"/>
        <v/>
      </c>
      <c r="AE121" s="58"/>
      <c r="AF121" s="58"/>
      <c r="AG121" s="31" t="str">
        <f t="shared" si="33"/>
        <v/>
      </c>
      <c r="AI121" s="58"/>
      <c r="AJ121" s="58"/>
      <c r="AK121" s="31" t="str">
        <f t="shared" si="34"/>
        <v/>
      </c>
    </row>
    <row r="122" spans="1:37" x14ac:dyDescent="0.2">
      <c r="A122" s="52" t="b">
        <f t="shared" ca="1" si="35"/>
        <v>0</v>
      </c>
      <c r="C122" s="58"/>
      <c r="D122" s="58"/>
      <c r="E122" s="31" t="str">
        <f t="shared" si="26"/>
        <v/>
      </c>
      <c r="G122" s="58"/>
      <c r="H122" s="58"/>
      <c r="I122" s="31" t="str">
        <f t="shared" si="27"/>
        <v/>
      </c>
      <c r="K122" s="58"/>
      <c r="L122" s="58"/>
      <c r="M122" s="31" t="str">
        <f t="shared" si="28"/>
        <v/>
      </c>
      <c r="O122" s="58"/>
      <c r="P122" s="58"/>
      <c r="Q122" s="31" t="str">
        <f t="shared" si="29"/>
        <v/>
      </c>
      <c r="S122" s="58"/>
      <c r="T122" s="58"/>
      <c r="U122" s="31" t="str">
        <f t="shared" si="30"/>
        <v/>
      </c>
      <c r="W122" s="58"/>
      <c r="X122" s="58"/>
      <c r="Y122" s="31" t="str">
        <f t="shared" si="31"/>
        <v/>
      </c>
      <c r="AA122" s="58"/>
      <c r="AB122" s="58"/>
      <c r="AC122" s="31" t="str">
        <f t="shared" si="32"/>
        <v/>
      </c>
      <c r="AE122" s="58"/>
      <c r="AF122" s="58"/>
      <c r="AG122" s="31" t="str">
        <f t="shared" si="33"/>
        <v/>
      </c>
      <c r="AI122" s="58"/>
      <c r="AJ122" s="58"/>
      <c r="AK122" s="31" t="str">
        <f t="shared" si="34"/>
        <v/>
      </c>
    </row>
    <row r="123" spans="1:37" x14ac:dyDescent="0.2">
      <c r="A123" s="52" t="b">
        <f t="shared" ca="1" si="35"/>
        <v>0</v>
      </c>
      <c r="C123" s="58"/>
      <c r="D123" s="58"/>
      <c r="E123" s="31" t="str">
        <f t="shared" si="26"/>
        <v/>
      </c>
      <c r="G123" s="58"/>
      <c r="H123" s="58"/>
      <c r="I123" s="31" t="str">
        <f t="shared" si="27"/>
        <v/>
      </c>
      <c r="K123" s="58"/>
      <c r="L123" s="58"/>
      <c r="M123" s="31" t="str">
        <f t="shared" si="28"/>
        <v/>
      </c>
      <c r="O123" s="58"/>
      <c r="P123" s="58"/>
      <c r="Q123" s="31" t="str">
        <f t="shared" si="29"/>
        <v/>
      </c>
      <c r="S123" s="58"/>
      <c r="T123" s="58"/>
      <c r="U123" s="31" t="str">
        <f t="shared" si="30"/>
        <v/>
      </c>
      <c r="W123" s="58"/>
      <c r="X123" s="58"/>
      <c r="Y123" s="31" t="str">
        <f t="shared" si="31"/>
        <v/>
      </c>
      <c r="AA123" s="58"/>
      <c r="AB123" s="58"/>
      <c r="AC123" s="31" t="str">
        <f t="shared" si="32"/>
        <v/>
      </c>
      <c r="AE123" s="58"/>
      <c r="AF123" s="58"/>
      <c r="AG123" s="31" t="str">
        <f t="shared" si="33"/>
        <v/>
      </c>
      <c r="AI123" s="58"/>
      <c r="AJ123" s="58"/>
      <c r="AK123" s="31" t="str">
        <f t="shared" si="34"/>
        <v/>
      </c>
    </row>
    <row r="124" spans="1:37" x14ac:dyDescent="0.2">
      <c r="A124" s="52" t="b">
        <f t="shared" ca="1" si="35"/>
        <v>0</v>
      </c>
      <c r="C124" s="58"/>
      <c r="D124" s="58"/>
      <c r="E124" s="31" t="str">
        <f t="shared" si="26"/>
        <v/>
      </c>
      <c r="G124" s="58"/>
      <c r="H124" s="58"/>
      <c r="I124" s="31" t="str">
        <f t="shared" si="27"/>
        <v/>
      </c>
      <c r="K124" s="58"/>
      <c r="L124" s="58"/>
      <c r="M124" s="31" t="str">
        <f t="shared" si="28"/>
        <v/>
      </c>
      <c r="O124" s="58"/>
      <c r="P124" s="58"/>
      <c r="Q124" s="31" t="str">
        <f t="shared" si="29"/>
        <v/>
      </c>
      <c r="S124" s="58"/>
      <c r="T124" s="58"/>
      <c r="U124" s="31" t="str">
        <f t="shared" si="30"/>
        <v/>
      </c>
      <c r="W124" s="58"/>
      <c r="X124" s="58"/>
      <c r="Y124" s="31" t="str">
        <f t="shared" si="31"/>
        <v/>
      </c>
      <c r="AA124" s="58"/>
      <c r="AB124" s="58"/>
      <c r="AC124" s="31" t="str">
        <f t="shared" si="32"/>
        <v/>
      </c>
      <c r="AE124" s="58"/>
      <c r="AF124" s="58"/>
      <c r="AG124" s="31" t="str">
        <f t="shared" si="33"/>
        <v/>
      </c>
      <c r="AI124" s="58"/>
      <c r="AJ124" s="58"/>
      <c r="AK124" s="31" t="str">
        <f t="shared" si="34"/>
        <v/>
      </c>
    </row>
    <row r="125" spans="1:37" x14ac:dyDescent="0.2">
      <c r="A125" s="52" t="b">
        <f t="shared" ca="1" si="35"/>
        <v>0</v>
      </c>
      <c r="C125" s="58"/>
      <c r="D125" s="58"/>
      <c r="E125" s="31" t="str">
        <f t="shared" si="26"/>
        <v/>
      </c>
      <c r="G125" s="58"/>
      <c r="H125" s="58"/>
      <c r="I125" s="31" t="str">
        <f t="shared" si="27"/>
        <v/>
      </c>
      <c r="K125" s="58"/>
      <c r="L125" s="58"/>
      <c r="M125" s="31" t="str">
        <f t="shared" si="28"/>
        <v/>
      </c>
      <c r="O125" s="58"/>
      <c r="P125" s="58"/>
      <c r="Q125" s="31" t="str">
        <f t="shared" si="29"/>
        <v/>
      </c>
      <c r="S125" s="58"/>
      <c r="T125" s="58"/>
      <c r="U125" s="31" t="str">
        <f t="shared" si="30"/>
        <v/>
      </c>
      <c r="W125" s="58"/>
      <c r="X125" s="58"/>
      <c r="Y125" s="31" t="str">
        <f t="shared" si="31"/>
        <v/>
      </c>
      <c r="AA125" s="58"/>
      <c r="AB125" s="58"/>
      <c r="AC125" s="31" t="str">
        <f t="shared" si="32"/>
        <v/>
      </c>
      <c r="AE125" s="58"/>
      <c r="AF125" s="58"/>
      <c r="AG125" s="31" t="str">
        <f t="shared" si="33"/>
        <v/>
      </c>
      <c r="AI125" s="58"/>
      <c r="AJ125" s="58"/>
      <c r="AK125" s="31" t="str">
        <f t="shared" si="34"/>
        <v/>
      </c>
    </row>
    <row r="126" spans="1:37" x14ac:dyDescent="0.2">
      <c r="A126" s="52" t="b">
        <f t="shared" ca="1" si="35"/>
        <v>0</v>
      </c>
      <c r="C126" s="58"/>
      <c r="D126" s="58"/>
      <c r="E126" s="31" t="str">
        <f t="shared" si="26"/>
        <v/>
      </c>
      <c r="G126" s="58"/>
      <c r="H126" s="58"/>
      <c r="I126" s="31" t="str">
        <f t="shared" si="27"/>
        <v/>
      </c>
      <c r="K126" s="58"/>
      <c r="L126" s="58"/>
      <c r="M126" s="31" t="str">
        <f t="shared" si="28"/>
        <v/>
      </c>
      <c r="O126" s="58"/>
      <c r="P126" s="58"/>
      <c r="Q126" s="31" t="str">
        <f t="shared" si="29"/>
        <v/>
      </c>
      <c r="S126" s="58"/>
      <c r="T126" s="58"/>
      <c r="U126" s="31" t="str">
        <f t="shared" si="30"/>
        <v/>
      </c>
      <c r="W126" s="58"/>
      <c r="X126" s="58"/>
      <c r="Y126" s="31" t="str">
        <f t="shared" si="31"/>
        <v/>
      </c>
      <c r="AA126" s="58"/>
      <c r="AB126" s="58"/>
      <c r="AC126" s="31" t="str">
        <f t="shared" si="32"/>
        <v/>
      </c>
      <c r="AE126" s="58"/>
      <c r="AF126" s="58"/>
      <c r="AG126" s="31" t="str">
        <f t="shared" si="33"/>
        <v/>
      </c>
      <c r="AI126" s="58"/>
      <c r="AJ126" s="58"/>
      <c r="AK126" s="31" t="str">
        <f t="shared" si="34"/>
        <v/>
      </c>
    </row>
    <row r="127" spans="1:37" x14ac:dyDescent="0.2">
      <c r="A127" s="52" t="b">
        <f t="shared" ca="1" si="35"/>
        <v>0</v>
      </c>
      <c r="C127" s="58"/>
      <c r="D127" s="58"/>
      <c r="E127" s="31" t="str">
        <f t="shared" si="26"/>
        <v/>
      </c>
      <c r="G127" s="58"/>
      <c r="H127" s="58"/>
      <c r="I127" s="31" t="str">
        <f t="shared" si="27"/>
        <v/>
      </c>
      <c r="K127" s="58"/>
      <c r="L127" s="58"/>
      <c r="M127" s="31" t="str">
        <f t="shared" si="28"/>
        <v/>
      </c>
      <c r="O127" s="58"/>
      <c r="P127" s="58"/>
      <c r="Q127" s="31" t="str">
        <f t="shared" si="29"/>
        <v/>
      </c>
      <c r="S127" s="58"/>
      <c r="T127" s="58"/>
      <c r="U127" s="31" t="str">
        <f t="shared" si="30"/>
        <v/>
      </c>
      <c r="W127" s="58"/>
      <c r="X127" s="58"/>
      <c r="Y127" s="31" t="str">
        <f t="shared" si="31"/>
        <v/>
      </c>
      <c r="AA127" s="58"/>
      <c r="AB127" s="58"/>
      <c r="AC127" s="31" t="str">
        <f t="shared" si="32"/>
        <v/>
      </c>
      <c r="AE127" s="58"/>
      <c r="AF127" s="58"/>
      <c r="AG127" s="31" t="str">
        <f t="shared" si="33"/>
        <v/>
      </c>
      <c r="AI127" s="58"/>
      <c r="AJ127" s="58"/>
      <c r="AK127" s="31" t="str">
        <f t="shared" si="34"/>
        <v/>
      </c>
    </row>
    <row r="128" spans="1:37" x14ac:dyDescent="0.2">
      <c r="A128" s="52" t="b">
        <f t="shared" ca="1" si="35"/>
        <v>0</v>
      </c>
      <c r="C128" s="58"/>
      <c r="D128" s="58"/>
      <c r="E128" s="31" t="str">
        <f t="shared" si="26"/>
        <v/>
      </c>
      <c r="G128" s="58"/>
      <c r="H128" s="58"/>
      <c r="I128" s="31" t="str">
        <f t="shared" si="27"/>
        <v/>
      </c>
      <c r="K128" s="58"/>
      <c r="L128" s="58"/>
      <c r="M128" s="31" t="str">
        <f t="shared" si="28"/>
        <v/>
      </c>
      <c r="O128" s="58"/>
      <c r="P128" s="58"/>
      <c r="Q128" s="31" t="str">
        <f t="shared" si="29"/>
        <v/>
      </c>
      <c r="S128" s="58"/>
      <c r="T128" s="58"/>
      <c r="U128" s="31" t="str">
        <f t="shared" si="30"/>
        <v/>
      </c>
      <c r="W128" s="58"/>
      <c r="X128" s="58"/>
      <c r="Y128" s="31" t="str">
        <f t="shared" si="31"/>
        <v/>
      </c>
      <c r="AA128" s="58"/>
      <c r="AB128" s="58"/>
      <c r="AC128" s="31" t="str">
        <f t="shared" si="32"/>
        <v/>
      </c>
      <c r="AE128" s="58"/>
      <c r="AF128" s="58"/>
      <c r="AG128" s="31" t="str">
        <f t="shared" si="33"/>
        <v/>
      </c>
      <c r="AI128" s="58"/>
      <c r="AJ128" s="58"/>
      <c r="AK128" s="31" t="str">
        <f t="shared" si="34"/>
        <v/>
      </c>
    </row>
    <row r="129" spans="1:37" x14ac:dyDescent="0.2">
      <c r="A129" s="52" t="b">
        <f t="shared" ca="1" si="35"/>
        <v>0</v>
      </c>
      <c r="C129" s="58"/>
      <c r="D129" s="58"/>
      <c r="E129" s="31" t="str">
        <f t="shared" si="26"/>
        <v/>
      </c>
      <c r="G129" s="58"/>
      <c r="H129" s="58"/>
      <c r="I129" s="31" t="str">
        <f t="shared" si="27"/>
        <v/>
      </c>
      <c r="K129" s="58"/>
      <c r="L129" s="58"/>
      <c r="M129" s="31" t="str">
        <f t="shared" si="28"/>
        <v/>
      </c>
      <c r="O129" s="58"/>
      <c r="P129" s="58"/>
      <c r="Q129" s="31" t="str">
        <f t="shared" si="29"/>
        <v/>
      </c>
      <c r="S129" s="58"/>
      <c r="T129" s="58"/>
      <c r="U129" s="31" t="str">
        <f t="shared" si="30"/>
        <v/>
      </c>
      <c r="W129" s="58"/>
      <c r="X129" s="58"/>
      <c r="Y129" s="31" t="str">
        <f t="shared" si="31"/>
        <v/>
      </c>
      <c r="AA129" s="58"/>
      <c r="AB129" s="58"/>
      <c r="AC129" s="31" t="str">
        <f t="shared" si="32"/>
        <v/>
      </c>
      <c r="AE129" s="58"/>
      <c r="AF129" s="58"/>
      <c r="AG129" s="31" t="str">
        <f t="shared" si="33"/>
        <v/>
      </c>
      <c r="AI129" s="58"/>
      <c r="AJ129" s="58"/>
      <c r="AK129" s="31" t="str">
        <f t="shared" si="34"/>
        <v/>
      </c>
    </row>
    <row r="130" spans="1:37" x14ac:dyDescent="0.2">
      <c r="A130" s="52" t="b">
        <f t="shared" ca="1" si="35"/>
        <v>0</v>
      </c>
      <c r="C130" s="58"/>
      <c r="D130" s="58"/>
      <c r="E130" s="31" t="str">
        <f>IF(C130="","",D130/VLOOKUP(u_Weight,a_Weight,2,FALSE))</f>
        <v/>
      </c>
      <c r="G130" s="58"/>
      <c r="H130" s="58"/>
      <c r="I130" s="31" t="str">
        <f>IF(G130="","",H130/VLOOKUP(u_Distance,a_Distance,2,FALSE))</f>
        <v/>
      </c>
      <c r="K130" s="58"/>
      <c r="L130" s="58"/>
      <c r="M130" s="31" t="str">
        <f>IF(K130="","",L130/VLOOKUP(u_Volume,a_Volume,2,FALSE))</f>
        <v/>
      </c>
      <c r="O130" s="58"/>
      <c r="P130" s="58"/>
      <c r="Q130" s="31" t="str">
        <f>IF(O130="","",P130/VLOOKUP(u_Energy,a_Energy,2,FALSE))</f>
        <v/>
      </c>
      <c r="S130" s="58"/>
      <c r="T130" s="58"/>
      <c r="U130" s="31" t="str">
        <f>IF(S130="","",T130/VLOOKUP(u_Freight,a_Freight,2,FALSE))</f>
        <v/>
      </c>
      <c r="W130" s="58"/>
      <c r="X130" s="58"/>
      <c r="Y130" s="31" t="str">
        <f>IF(W130="","",X130/VLOOKUP(u_Time,a_Time,2,FALSE))</f>
        <v/>
      </c>
      <c r="AA130" s="58"/>
      <c r="AB130" s="58"/>
      <c r="AC130" s="31" t="str">
        <f>IF(AA130="","",AB130/VLOOKUP(u_Area,a_Area,2,FALSE))</f>
        <v/>
      </c>
      <c r="AE130" s="58"/>
      <c r="AF130" s="58"/>
      <c r="AG130" s="31" t="str">
        <f t="shared" si="33"/>
        <v/>
      </c>
      <c r="AI130" s="58"/>
      <c r="AJ130" s="58"/>
      <c r="AK130" s="31" t="str">
        <f t="shared" si="34"/>
        <v/>
      </c>
    </row>
    <row r="131" spans="1:37" x14ac:dyDescent="0.2">
      <c r="A131" s="52" t="b">
        <f t="shared" ca="1" si="35"/>
        <v>0</v>
      </c>
      <c r="C131" s="58"/>
      <c r="D131" s="58"/>
      <c r="E131" s="31" t="str">
        <f>IF(C131="","",D131/VLOOKUP(u_Weight,a_Weight,2,FALSE))</f>
        <v/>
      </c>
      <c r="G131" s="58"/>
      <c r="H131" s="58"/>
      <c r="I131" s="31" t="str">
        <f>IF(G131="","",H131/VLOOKUP(u_Distance,a_Distance,2,FALSE))</f>
        <v/>
      </c>
      <c r="K131" s="58"/>
      <c r="L131" s="58"/>
      <c r="M131" s="31" t="str">
        <f>IF(K131="","",L131/VLOOKUP(u_Volume,a_Volume,2,FALSE))</f>
        <v/>
      </c>
      <c r="O131" s="58"/>
      <c r="P131" s="58"/>
      <c r="Q131" s="31" t="str">
        <f>IF(O131="","",P131/VLOOKUP(u_Energy,a_Energy,2,FALSE))</f>
        <v/>
      </c>
      <c r="S131" s="58"/>
      <c r="T131" s="58"/>
      <c r="U131" s="31" t="str">
        <f>IF(S131="","",T131/VLOOKUP(u_Freight,a_Freight,2,FALSE))</f>
        <v/>
      </c>
      <c r="W131" s="58"/>
      <c r="X131" s="58"/>
      <c r="Y131" s="31" t="str">
        <f>IF(W131="","",X131/VLOOKUP(u_Time,a_Time,2,FALSE))</f>
        <v/>
      </c>
      <c r="AA131" s="58"/>
      <c r="AB131" s="58"/>
      <c r="AC131" s="31" t="str">
        <f>IF(AA131="","",AB131/VLOOKUP(u_Area,a_Area,2,FALSE))</f>
        <v/>
      </c>
      <c r="AE131" s="58"/>
      <c r="AF131" s="58"/>
      <c r="AG131" s="31" t="str">
        <f>IF(AE131="","",AF131/VLOOKUP(u_Area,a_Area,2,FALSE))</f>
        <v/>
      </c>
      <c r="AI131" s="58"/>
      <c r="AJ131" s="58"/>
      <c r="AK131" s="31" t="str">
        <f t="shared" si="34"/>
        <v/>
      </c>
    </row>
    <row r="132" spans="1:37" x14ac:dyDescent="0.2">
      <c r="A132" s="52" t="b">
        <f t="shared" ca="1" si="35"/>
        <v>0</v>
      </c>
      <c r="C132" s="58"/>
      <c r="D132" s="58"/>
      <c r="E132" s="31" t="str">
        <f>IF(C132="","",D132/VLOOKUP(u_Weight,a_Weight,2,FALSE))</f>
        <v/>
      </c>
      <c r="G132" s="58"/>
      <c r="H132" s="58"/>
      <c r="I132" s="31" t="str">
        <f>IF(G132="","",H132/VLOOKUP(u_Distance,a_Distance,2,FALSE))</f>
        <v/>
      </c>
      <c r="K132" s="58"/>
      <c r="L132" s="58"/>
      <c r="M132" s="31" t="str">
        <f>IF(K132="","",L132/VLOOKUP(u_Volume,a_Volume,2,FALSE))</f>
        <v/>
      </c>
      <c r="O132" s="58"/>
      <c r="P132" s="58"/>
      <c r="Q132" s="31" t="str">
        <f>IF(O132="","",P132/VLOOKUP(u_Energy,a_Energy,2,FALSE))</f>
        <v/>
      </c>
      <c r="S132" s="58"/>
      <c r="T132" s="58"/>
      <c r="U132" s="31" t="str">
        <f>IF(S132="","",T132/VLOOKUP(u_Freight,a_Freight,2,FALSE))</f>
        <v/>
      </c>
      <c r="W132" s="58"/>
      <c r="X132" s="58"/>
      <c r="Y132" s="31" t="str">
        <f>IF(W132="","",X132/VLOOKUP(u_Time,a_Time,2,FALSE))</f>
        <v/>
      </c>
      <c r="AA132" s="58"/>
      <c r="AB132" s="58"/>
      <c r="AC132" s="31" t="str">
        <f>IF(AA132="","",AB132/VLOOKUP(u_Area,a_Area,2,FALSE))</f>
        <v/>
      </c>
      <c r="AE132" s="58"/>
      <c r="AF132" s="58"/>
      <c r="AG132" s="31" t="str">
        <f>IF(AE132="","",AF132/VLOOKUP(u_Area,a_Area,2,FALSE))</f>
        <v/>
      </c>
      <c r="AI132" s="58"/>
      <c r="AJ132" s="58"/>
      <c r="AK132" s="31" t="str">
        <f t="shared" si="34"/>
        <v/>
      </c>
    </row>
    <row r="133" spans="1:37" x14ac:dyDescent="0.2">
      <c r="A133" s="52" t="b">
        <f t="shared" ca="1" si="35"/>
        <v>0</v>
      </c>
      <c r="C133" s="58"/>
      <c r="D133" s="58"/>
      <c r="E133" s="31" t="str">
        <f>IF(C133="","",D133/VLOOKUP(u_Weight,a_Weight,2,FALSE))</f>
        <v/>
      </c>
      <c r="G133" s="58"/>
      <c r="H133" s="58"/>
      <c r="I133" s="31" t="str">
        <f>IF(G133="","",H133/VLOOKUP(u_Distance,a_Distance,2,FALSE))</f>
        <v/>
      </c>
      <c r="K133" s="58"/>
      <c r="L133" s="58"/>
      <c r="M133" s="31" t="str">
        <f>IF(K133="","",L133/VLOOKUP(u_Volume,a_Volume,2,FALSE))</f>
        <v/>
      </c>
      <c r="O133" s="58"/>
      <c r="P133" s="58"/>
      <c r="Q133" s="31" t="str">
        <f>IF(O133="","",P133/VLOOKUP(u_Energy,a_Energy,2,FALSE))</f>
        <v/>
      </c>
      <c r="S133" s="58"/>
      <c r="T133" s="58"/>
      <c r="U133" s="31" t="str">
        <f>IF(S133="","",T133/VLOOKUP(u_Freight,a_Freight,2,FALSE))</f>
        <v/>
      </c>
      <c r="W133" s="58"/>
      <c r="X133" s="58"/>
      <c r="Y133" s="31" t="str">
        <f>IF(W133="","",X133/VLOOKUP(u_Time,a_Time,2,FALSE))</f>
        <v/>
      </c>
      <c r="AA133" s="58"/>
      <c r="AB133" s="58"/>
      <c r="AC133" s="31" t="str">
        <f>IF(AA133="","",AB133/VLOOKUP(u_Area,a_Area,2,FALSE))</f>
        <v/>
      </c>
      <c r="AE133" s="58"/>
      <c r="AF133" s="58"/>
      <c r="AG133" s="31" t="str">
        <f>IF(AE133="","",AF133/VLOOKUP(u_Area,a_Area,2,FALSE))</f>
        <v/>
      </c>
      <c r="AI133" s="58"/>
      <c r="AJ133" s="58"/>
      <c r="AK133" s="31" t="str">
        <f t="shared" si="34"/>
        <v/>
      </c>
    </row>
    <row r="134" spans="1:37" x14ac:dyDescent="0.2">
      <c r="A134" s="52" t="b">
        <f t="shared" ca="1" si="35"/>
        <v>0</v>
      </c>
      <c r="C134" s="58"/>
      <c r="D134" s="58"/>
      <c r="E134" s="31" t="str">
        <f>IF(C134="","",D134/VLOOKUP(u_Weight,a_Weight,2,FALSE))</f>
        <v/>
      </c>
      <c r="G134" s="58"/>
      <c r="H134" s="58"/>
      <c r="I134" s="31" t="str">
        <f>IF(G134="","",H134/VLOOKUP(u_Distance,a_Distance,2,FALSE))</f>
        <v/>
      </c>
      <c r="K134" s="58"/>
      <c r="L134" s="58"/>
      <c r="M134" s="31" t="str">
        <f>IF(K134="","",L134/VLOOKUP(u_Volume,a_Volume,2,FALSE))</f>
        <v/>
      </c>
      <c r="O134" s="58"/>
      <c r="P134" s="58"/>
      <c r="Q134" s="31" t="str">
        <f>IF(O134="","",P134/VLOOKUP(u_Energy,a_Energy,2,FALSE))</f>
        <v/>
      </c>
      <c r="S134" s="58"/>
      <c r="T134" s="58"/>
      <c r="U134" s="31" t="str">
        <f>IF(S134="","",T134/VLOOKUP(u_Freight,a_Freight,2,FALSE))</f>
        <v/>
      </c>
      <c r="W134" s="58"/>
      <c r="X134" s="58"/>
      <c r="Y134" s="31" t="str">
        <f>IF(W134="","",X134/VLOOKUP(u_Time,a_Time,2,FALSE))</f>
        <v/>
      </c>
      <c r="AA134" s="58"/>
      <c r="AB134" s="58"/>
      <c r="AC134" s="31" t="str">
        <f>IF(AA134="","",AB134/VLOOKUP(u_Area,a_Area,2,FALSE))</f>
        <v/>
      </c>
      <c r="AE134" s="58"/>
      <c r="AF134" s="58"/>
      <c r="AG134" s="31" t="str">
        <f>IF(AE134="","",AF134/VLOOKUP(u_Area,a_Area,2,FALSE))</f>
        <v/>
      </c>
      <c r="AI134" s="58"/>
      <c r="AJ134" s="58"/>
      <c r="AK134" s="31" t="str">
        <f t="shared" si="34"/>
        <v/>
      </c>
    </row>
  </sheetData>
  <sheetProtection algorithmName="SHA-512" hashValue="fTeiyWGw+Cy+QeguktPQvb4GSIu0BHS3VTCeB63plNY9wgrVnF87RJTQ+V5QvfynsP9NpxvDdHWCBble35iWOA==" saltValue="xMx0iNF6y0NNDbmTnkWIaQ==" spinCount="100000" sheet="1" objects="1" scenarios="1" autoFilter="0"/>
  <autoFilter ref="A7:A134"/>
  <conditionalFormatting sqref="A1">
    <cfRule type="containsText" dxfId="0" priority="1" stopIfTrue="1" operator="containsText" text="Err">
      <formula>NOT(ISERROR(SEARCH("Err",A1)))</formula>
    </cfRule>
  </conditionalFormatting>
  <dataValidations count="2">
    <dataValidation type="list" allowBlank="1" showInputMessage="1" showErrorMessage="1" sqref="D31 H31 L31 P31 T31 X31 AB31 AF31 AJ31">
      <formula1>INDIRECT(INDEX(l_UnitListAddresses,D30))</formula1>
    </dataValidation>
    <dataValidation type="list" allowBlank="1" showInputMessage="1" showErrorMessage="1" sqref="A1">
      <formula1>l_OKErr</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25</vt:i4>
      </vt:variant>
    </vt:vector>
  </HeadingPairs>
  <TitlesOfParts>
    <vt:vector size="36" baseType="lpstr">
      <vt:lpstr>Title Page</vt:lpstr>
      <vt:lpstr>User Instructions</vt:lpstr>
      <vt:lpstr>Front Sheet</vt:lpstr>
      <vt:lpstr>Results Summary</vt:lpstr>
      <vt:lpstr>Background v</vt:lpstr>
      <vt:lpstr>Calculations</vt:lpstr>
      <vt:lpstr>Country-Specific Data</vt:lpstr>
      <vt:lpstr>Background Data</vt:lpstr>
      <vt:lpstr>Key, Version Control and Errors</vt:lpstr>
      <vt:lpstr>Admin</vt:lpstr>
      <vt:lpstr>Units</vt:lpstr>
      <vt:lpstr>a_NewVersions</vt:lpstr>
      <vt:lpstr>a_OldVersions</vt:lpstr>
      <vt:lpstr>l_Cols</vt:lpstr>
      <vt:lpstr>l_OKErr</vt:lpstr>
      <vt:lpstr>l_Unlocking</vt:lpstr>
      <vt:lpstr>l_Veracity</vt:lpstr>
      <vt:lpstr>n_Approver</vt:lpstr>
      <vt:lpstr>n_Author</vt:lpstr>
      <vt:lpstr>n_CarbonUnits</vt:lpstr>
      <vt:lpstr>n_Changes</vt:lpstr>
      <vt:lpstr>n_Country</vt:lpstr>
      <vt:lpstr>n_Date</vt:lpstr>
      <vt:lpstr>n_EnergyUnits</vt:lpstr>
      <vt:lpstr>n_ErrorChecking</vt:lpstr>
      <vt:lpstr>n_Version</vt:lpstr>
      <vt:lpstr>n_VersionControlSheet</vt:lpstr>
      <vt:lpstr>u_Area</vt:lpstr>
      <vt:lpstr>u_Count</vt:lpstr>
      <vt:lpstr>u_Distance</vt:lpstr>
      <vt:lpstr>u_Energy</vt:lpstr>
      <vt:lpstr>u_Freight</vt:lpstr>
      <vt:lpstr>u_Speed</vt:lpstr>
      <vt:lpstr>u_Time</vt:lpstr>
      <vt:lpstr>u_Volume</vt:lpstr>
      <vt:lpstr>u_Weight</vt:lpstr>
    </vt:vector>
  </TitlesOfParts>
  <Company>Veolia Environmental Services plc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david.lynas</dc:creator>
  <cp:lastModifiedBy>ci1sjt</cp:lastModifiedBy>
  <cp:lastPrinted>2014-08-19T18:27:11Z</cp:lastPrinted>
  <dcterms:created xsi:type="dcterms:W3CDTF">2013-03-14T05:38:04Z</dcterms:created>
  <dcterms:modified xsi:type="dcterms:W3CDTF">2015-06-02T03:27:23Z</dcterms:modified>
</cp:coreProperties>
</file>